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ownloads\"/>
    </mc:Choice>
  </mc:AlternateContent>
  <bookViews>
    <workbookView xWindow="0" yWindow="0" windowWidth="23040" windowHeight="9072" tabRatio="796" activeTab="9"/>
  </bookViews>
  <sheets>
    <sheet name="PL1.KH25" sheetId="15" r:id="rId1"/>
    <sheet name="PL2.PA2026" sheetId="2" r:id="rId2"/>
    <sheet name="PL3.NSDP-CT" sheetId="1" r:id="rId3"/>
    <sheet name="PL4.NSDP-KCM" sheetId="16" r:id="rId4"/>
    <sheet name="3-NSDP-KCM" sheetId="5" state="hidden" r:id="rId5"/>
    <sheet name="PL5.NV" sheetId="4" r:id="rId6"/>
    <sheet name="PL6.NSTW-CT" sheetId="6" r:id="rId7"/>
    <sheet name="PL7.NSTW-KCM" sheetId="13" r:id="rId8"/>
    <sheet name="8.CTMTQG" sheetId="8" r:id="rId9"/>
    <sheet name="9.ODA" sheetId="14" r:id="rId10"/>
  </sheets>
  <externalReferences>
    <externalReference r:id="rId11"/>
    <externalReference r:id="rId12"/>
    <externalReference r:id="rId13"/>
    <externalReference r:id="rId14"/>
    <externalReference r:id="rId15"/>
  </externalReferences>
  <definedNames>
    <definedName name="_xlnm._FilterDatabase" localSheetId="4" hidden="1">'3-NSDP-KCM'!$A$9:$AF$465</definedName>
    <definedName name="_xlnm._FilterDatabase" localSheetId="2" hidden="1">'PL3.NSDP-CT'!$A$8:$FT$136</definedName>
    <definedName name="_xlnm.Print_Area" localSheetId="4">'3-NSDP-KCM'!$A$1:$Y$465</definedName>
    <definedName name="_xlnm.Print_Area" localSheetId="9">'9.ODA'!$A$1:$AO$53</definedName>
    <definedName name="_xlnm.Print_Area" localSheetId="1">PL2.PA2026!$A$1:$G$30</definedName>
    <definedName name="_xlnm.Print_Area" localSheetId="2">'PL3.NSDP-CT'!$A$1:$AA$137</definedName>
    <definedName name="_xlnm.Print_Area" localSheetId="3">'PL4.NSDP-KCM'!$A$1:$AF$33</definedName>
    <definedName name="_xlnm.Print_Area" localSheetId="6">'PL6.NSTW-CT'!$A$1:$AB$27</definedName>
    <definedName name="_xlnm.Print_Area" localSheetId="7">'PL7.NSTW-KCM'!$A$1:$X$33</definedName>
    <definedName name="_xlnm.Print_Titles" localSheetId="4">'3-NSDP-KCM'!$A:$V,'3-NSDP-KCM'!$6:$9</definedName>
    <definedName name="_xlnm.Print_Titles" localSheetId="8">'8.CTMTQG'!$1:$13</definedName>
    <definedName name="_xlnm.Print_Titles" localSheetId="9">'9.ODA'!$5:$12</definedName>
    <definedName name="_xlnm.Print_Titles" localSheetId="0">PL1.KH25!$A:$AD,PL1.KH25!$6:$8</definedName>
    <definedName name="_xlnm.Print_Titles" localSheetId="2">'PL3.NSDP-CT'!$6:$9</definedName>
    <definedName name="_xlnm.Print_Titles" localSheetId="3">'PL4.NSDP-KCM'!$A:$W,'PL4.NSDP-KCM'!$6:$9</definedName>
    <definedName name="_xlnm.Print_Titles" localSheetId="6">'PL6.NSTW-CT'!$A:$AB,'PL6.NSTW-CT'!$7:$10</definedName>
    <definedName name="_xlnm.Print_Titles" localSheetId="7">'PL7.NSTW-KCM'!$6:$9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1" i="1" l="1"/>
  <c r="J111" i="1"/>
  <c r="K111" i="1"/>
  <c r="L111" i="1"/>
  <c r="M111" i="1"/>
  <c r="N111" i="1"/>
  <c r="O111" i="1"/>
  <c r="P111" i="1"/>
  <c r="Q111" i="1"/>
  <c r="R111" i="1"/>
  <c r="T111" i="1"/>
  <c r="U111" i="1"/>
  <c r="W111" i="1"/>
  <c r="X111" i="1"/>
  <c r="Y111" i="1"/>
  <c r="H111" i="1"/>
  <c r="Y119" i="1"/>
  <c r="A3" i="2" l="1"/>
  <c r="L22" i="16" l="1"/>
  <c r="M22" i="16" s="1"/>
  <c r="L21" i="16"/>
  <c r="M21" i="16" s="1"/>
  <c r="E28" i="16" l="1"/>
  <c r="E27" i="16"/>
  <c r="AF23" i="16"/>
  <c r="AE23" i="16"/>
  <c r="AD23" i="16"/>
  <c r="AC23" i="16"/>
  <c r="AB23" i="16"/>
  <c r="AA23" i="16"/>
  <c r="Z23" i="16"/>
  <c r="Y23" i="16"/>
  <c r="X23" i="16"/>
  <c r="V23" i="16"/>
  <c r="U23" i="16"/>
  <c r="T23" i="16"/>
  <c r="S23" i="16"/>
  <c r="R23" i="16"/>
  <c r="Q23" i="16"/>
  <c r="P23" i="16"/>
  <c r="O23" i="16"/>
  <c r="N23" i="16"/>
  <c r="M23" i="16"/>
  <c r="L23" i="16"/>
  <c r="K23" i="16"/>
  <c r="X19" i="16"/>
  <c r="V19" i="16"/>
  <c r="U19" i="16"/>
  <c r="T19" i="16"/>
  <c r="S19" i="16"/>
  <c r="R19" i="16"/>
  <c r="Q19" i="16"/>
  <c r="P19" i="16"/>
  <c r="O19" i="16"/>
  <c r="N19" i="16"/>
  <c r="M19" i="16"/>
  <c r="L19" i="16"/>
  <c r="K19" i="16"/>
  <c r="V16" i="16"/>
  <c r="U16" i="16"/>
  <c r="T16" i="16"/>
  <c r="S16" i="16"/>
  <c r="R16" i="16"/>
  <c r="Q16" i="16"/>
  <c r="P16" i="16"/>
  <c r="O16" i="16"/>
  <c r="N16" i="16"/>
  <c r="M16" i="16"/>
  <c r="L16" i="16"/>
  <c r="K16" i="16"/>
  <c r="A15" i="16"/>
  <c r="V14" i="16"/>
  <c r="U14" i="16"/>
  <c r="T14" i="16"/>
  <c r="S14" i="16"/>
  <c r="R14" i="16"/>
  <c r="Q14" i="16"/>
  <c r="P14" i="16"/>
  <c r="O14" i="16"/>
  <c r="N14" i="16"/>
  <c r="M14" i="16"/>
  <c r="L14" i="16"/>
  <c r="K14" i="16"/>
  <c r="X10" i="16"/>
  <c r="AC7" i="16"/>
  <c r="X6" i="16"/>
  <c r="N13" i="16" l="1"/>
  <c r="N12" i="16" s="1"/>
  <c r="N11" i="16" s="1"/>
  <c r="R13" i="16"/>
  <c r="R12" i="16" s="1"/>
  <c r="R11" i="16" s="1"/>
  <c r="AE8" i="16" s="1"/>
  <c r="K13" i="16"/>
  <c r="K12" i="16" s="1"/>
  <c r="K11" i="16" s="1"/>
  <c r="S13" i="16"/>
  <c r="S12" i="16" s="1"/>
  <c r="S11" i="16" s="1"/>
  <c r="AF8" i="16" s="1"/>
  <c r="L13" i="16"/>
  <c r="L12" i="16" s="1"/>
  <c r="P13" i="16"/>
  <c r="P12" i="16" s="1"/>
  <c r="P11" i="16" s="1"/>
  <c r="T13" i="16"/>
  <c r="T12" i="16" s="1"/>
  <c r="T11" i="16" s="1"/>
  <c r="O13" i="16"/>
  <c r="O12" i="16" s="1"/>
  <c r="O11" i="16" s="1"/>
  <c r="M13" i="16"/>
  <c r="M12" i="16" s="1"/>
  <c r="M11" i="16" s="1"/>
  <c r="Q13" i="16"/>
  <c r="Q12" i="16" s="1"/>
  <c r="Q11" i="16" s="1"/>
  <c r="U13" i="16"/>
  <c r="U12" i="16" s="1"/>
  <c r="U11" i="16" s="1"/>
  <c r="L11" i="16"/>
  <c r="V13" i="16"/>
  <c r="V12" i="16" s="1"/>
  <c r="V11" i="16" s="1"/>
  <c r="F19" i="2" s="1"/>
  <c r="AB19" i="16"/>
  <c r="A17" i="16"/>
  <c r="A18" i="16" s="1"/>
  <c r="A20" i="16" s="1"/>
  <c r="AB11" i="16" l="1"/>
  <c r="AE10" i="16"/>
  <c r="X11" i="16"/>
  <c r="X9" i="16" s="1"/>
  <c r="A21" i="16"/>
  <c r="A22" i="16" l="1"/>
  <c r="A24" i="16" l="1"/>
  <c r="A25" i="16" l="1"/>
  <c r="A26" i="16" l="1"/>
  <c r="A27" i="16" s="1"/>
  <c r="A28" i="16" l="1"/>
  <c r="A29" i="16" s="1"/>
  <c r="A30" i="16" s="1"/>
  <c r="A31" i="16" s="1"/>
  <c r="AG14" i="6" l="1"/>
  <c r="AF14" i="6" s="1"/>
  <c r="AG15" i="6"/>
  <c r="AF15" i="6" s="1"/>
  <c r="AG16" i="6"/>
  <c r="AF16" i="6" s="1"/>
  <c r="AG17" i="6"/>
  <c r="AF17" i="6" s="1"/>
  <c r="AG19" i="6"/>
  <c r="AF19" i="6" s="1"/>
  <c r="AG21" i="6"/>
  <c r="AF21" i="6" s="1"/>
  <c r="AG23" i="6"/>
  <c r="AF23" i="6" s="1"/>
  <c r="AG24" i="6"/>
  <c r="AF24" i="6" s="1"/>
  <c r="AG25" i="6"/>
  <c r="AF25" i="6" s="1"/>
  <c r="AG27" i="6"/>
  <c r="AF27" i="6" s="1"/>
  <c r="T22" i="6"/>
  <c r="U22" i="6"/>
  <c r="V22" i="6"/>
  <c r="W22" i="6"/>
  <c r="X22" i="6"/>
  <c r="Y22" i="6"/>
  <c r="Z22" i="6"/>
  <c r="T20" i="6"/>
  <c r="U20" i="6"/>
  <c r="V20" i="6"/>
  <c r="W20" i="6"/>
  <c r="X20" i="6"/>
  <c r="Y20" i="6"/>
  <c r="Z20" i="6"/>
  <c r="T18" i="6"/>
  <c r="U18" i="6"/>
  <c r="V18" i="6"/>
  <c r="W18" i="6"/>
  <c r="X18" i="6"/>
  <c r="Y18" i="6"/>
  <c r="Z18" i="6"/>
  <c r="AG20" i="6" l="1"/>
  <c r="AG18" i="6"/>
  <c r="AG22" i="6"/>
  <c r="T26" i="6"/>
  <c r="U26" i="6"/>
  <c r="V26" i="6"/>
  <c r="W26" i="6"/>
  <c r="X26" i="6"/>
  <c r="Y26" i="6"/>
  <c r="Z26" i="6"/>
  <c r="AG26" i="6" l="1"/>
  <c r="U13" i="6"/>
  <c r="U12" i="6" s="1"/>
  <c r="V13" i="6"/>
  <c r="W13" i="6"/>
  <c r="W12" i="6" s="1"/>
  <c r="X13" i="6"/>
  <c r="X12" i="6" s="1"/>
  <c r="Y13" i="6"/>
  <c r="Y12" i="6" s="1"/>
  <c r="Z13" i="6"/>
  <c r="Z12" i="6" s="1"/>
  <c r="M27" i="6"/>
  <c r="M25" i="6"/>
  <c r="M24" i="6"/>
  <c r="M23" i="6"/>
  <c r="N22" i="6"/>
  <c r="O22" i="6"/>
  <c r="M20" i="6"/>
  <c r="N20" i="6"/>
  <c r="AF20" i="6" s="1"/>
  <c r="O20" i="6"/>
  <c r="M18" i="6"/>
  <c r="N18" i="6"/>
  <c r="AF18" i="6" s="1"/>
  <c r="O18" i="6"/>
  <c r="M17" i="6"/>
  <c r="M16" i="6"/>
  <c r="M15" i="6"/>
  <c r="N13" i="6"/>
  <c r="O13" i="6"/>
  <c r="M13" i="6" l="1"/>
  <c r="V12" i="6"/>
  <c r="AG12" i="6" s="1"/>
  <c r="AG13" i="6"/>
  <c r="M22" i="6"/>
  <c r="M12" i="6" s="1"/>
  <c r="O12" i="6"/>
  <c r="N12" i="6"/>
  <c r="A4" i="8" l="1"/>
  <c r="A3" i="14"/>
  <c r="A4" i="13"/>
  <c r="A4" i="6"/>
  <c r="A3" i="4"/>
  <c r="A4" i="1"/>
  <c r="A4" i="16" s="1"/>
  <c r="AC21" i="15"/>
  <c r="AC18" i="15"/>
  <c r="AC14" i="15" l="1"/>
  <c r="AC12" i="15" s="1"/>
  <c r="AC11" i="15" s="1"/>
  <c r="AC10" i="15" l="1"/>
  <c r="AQ21" i="8"/>
  <c r="AL21" i="8"/>
  <c r="AB21" i="8"/>
  <c r="C21" i="8"/>
  <c r="AB20" i="8"/>
  <c r="C20" i="8"/>
  <c r="AL19" i="8"/>
  <c r="AL18" i="8" s="1"/>
  <c r="AG19" i="8"/>
  <c r="AG18" i="8" s="1"/>
  <c r="AB19" i="8"/>
  <c r="W19" i="8"/>
  <c r="W18" i="8" s="1"/>
  <c r="R19" i="8"/>
  <c r="R18" i="8" s="1"/>
  <c r="H19" i="8"/>
  <c r="H18" i="8" s="1"/>
  <c r="C19" i="8"/>
  <c r="AW18" i="8"/>
  <c r="AS18" i="8"/>
  <c r="AP18" i="8"/>
  <c r="AO18" i="8"/>
  <c r="AN18" i="8"/>
  <c r="AM18" i="8"/>
  <c r="AK18" i="8"/>
  <c r="AJ18" i="8"/>
  <c r="AI18" i="8"/>
  <c r="AH18" i="8"/>
  <c r="AF18" i="8"/>
  <c r="AE18" i="8"/>
  <c r="AD18" i="8"/>
  <c r="AC18" i="8"/>
  <c r="AA18" i="8"/>
  <c r="Z18" i="8"/>
  <c r="Y18" i="8"/>
  <c r="X18" i="8"/>
  <c r="V18" i="8"/>
  <c r="U18" i="8"/>
  <c r="T18" i="8"/>
  <c r="S18" i="8"/>
  <c r="Q18" i="8"/>
  <c r="P18" i="8"/>
  <c r="O18" i="8"/>
  <c r="N18" i="8"/>
  <c r="M18" i="8"/>
  <c r="L18" i="8"/>
  <c r="K18" i="8"/>
  <c r="J18" i="8"/>
  <c r="I18" i="8"/>
  <c r="G18" i="8"/>
  <c r="F18" i="8"/>
  <c r="E18" i="8"/>
  <c r="D18" i="8"/>
  <c r="AL17" i="8"/>
  <c r="AG17" i="8"/>
  <c r="AB17" i="8"/>
  <c r="W17" i="8"/>
  <c r="R17" i="8"/>
  <c r="M17" i="8"/>
  <c r="H17" i="8"/>
  <c r="C17" i="8"/>
  <c r="AL16" i="8"/>
  <c r="AL15" i="8" s="1"/>
  <c r="AL14" i="8" s="1"/>
  <c r="AG16" i="8"/>
  <c r="AG15" i="8" s="1"/>
  <c r="AG14" i="8" s="1"/>
  <c r="AB16" i="8"/>
  <c r="AB15" i="8" s="1"/>
  <c r="W16" i="8"/>
  <c r="W15" i="8" s="1"/>
  <c r="R16" i="8"/>
  <c r="M16" i="8"/>
  <c r="H16" i="8"/>
  <c r="C16" i="8"/>
  <c r="AW15" i="8"/>
  <c r="AV15" i="8"/>
  <c r="AV14" i="8" s="1"/>
  <c r="AT15" i="8"/>
  <c r="AT14" i="8" s="1"/>
  <c r="AS15" i="8"/>
  <c r="AQ15" i="8"/>
  <c r="AP15" i="8"/>
  <c r="AP14" i="8" s="1"/>
  <c r="AO15" i="8"/>
  <c r="AO14" i="8" s="1"/>
  <c r="AN15" i="8"/>
  <c r="AM15" i="8"/>
  <c r="AK15" i="8"/>
  <c r="AJ15" i="8"/>
  <c r="AI15" i="8"/>
  <c r="AH15" i="8"/>
  <c r="AF15" i="8"/>
  <c r="AE15" i="8"/>
  <c r="AE14" i="8" s="1"/>
  <c r="AD15" i="8"/>
  <c r="AC15" i="8"/>
  <c r="AA15" i="8"/>
  <c r="Z15" i="8"/>
  <c r="Y15" i="8"/>
  <c r="X15" i="8"/>
  <c r="V15" i="8"/>
  <c r="U15" i="8"/>
  <c r="T15" i="8"/>
  <c r="S15" i="8"/>
  <c r="Q15" i="8"/>
  <c r="Q14" i="8" s="1"/>
  <c r="P15" i="8"/>
  <c r="P14" i="8" s="1"/>
  <c r="O15" i="8"/>
  <c r="N15" i="8"/>
  <c r="N14" i="8" s="1"/>
  <c r="L15" i="8"/>
  <c r="K15" i="8"/>
  <c r="J15" i="8"/>
  <c r="I15" i="8"/>
  <c r="G15" i="8"/>
  <c r="F15" i="8"/>
  <c r="E15" i="8"/>
  <c r="D15" i="8"/>
  <c r="D14" i="8" s="1"/>
  <c r="AU14" i="8"/>
  <c r="T15" i="2" s="1"/>
  <c r="V15" i="2" s="1"/>
  <c r="AR14" i="8"/>
  <c r="AJ53" i="14"/>
  <c r="Y53" i="14"/>
  <c r="P53" i="14"/>
  <c r="P45" i="14" s="1"/>
  <c r="P40" i="14" s="1"/>
  <c r="AJ52" i="14"/>
  <c r="Y52" i="14"/>
  <c r="P52" i="14"/>
  <c r="M52" i="14"/>
  <c r="AJ46" i="14"/>
  <c r="N46" i="14"/>
  <c r="M46" i="14" s="1"/>
  <c r="I46" i="14"/>
  <c r="AN45" i="14"/>
  <c r="AN40" i="14" s="1"/>
  <c r="AM45" i="14"/>
  <c r="AM40" i="14" s="1"/>
  <c r="AL45" i="14"/>
  <c r="AL40" i="14" s="1"/>
  <c r="AK45" i="14"/>
  <c r="AK40" i="14" s="1"/>
  <c r="AI45" i="14"/>
  <c r="AI40" i="14" s="1"/>
  <c r="AH45" i="14"/>
  <c r="AH40" i="14" s="1"/>
  <c r="AG45" i="14"/>
  <c r="AG40" i="14" s="1"/>
  <c r="AF45" i="14"/>
  <c r="AF40" i="14" s="1"/>
  <c r="AE45" i="14"/>
  <c r="AE40" i="14" s="1"/>
  <c r="AD45" i="14"/>
  <c r="AD40" i="14" s="1"/>
  <c r="AC45" i="14"/>
  <c r="AC40" i="14" s="1"/>
  <c r="AB45" i="14"/>
  <c r="AB40" i="14" s="1"/>
  <c r="AA45" i="14"/>
  <c r="AA40" i="14" s="1"/>
  <c r="Z45" i="14"/>
  <c r="Z40" i="14" s="1"/>
  <c r="X45" i="14"/>
  <c r="X40" i="14" s="1"/>
  <c r="W45" i="14"/>
  <c r="W40" i="14" s="1"/>
  <c r="V45" i="14"/>
  <c r="V40" i="14" s="1"/>
  <c r="U45" i="14"/>
  <c r="U40" i="14" s="1"/>
  <c r="T45" i="14"/>
  <c r="T40" i="14" s="1"/>
  <c r="S45" i="14"/>
  <c r="R45" i="14"/>
  <c r="R40" i="14" s="1"/>
  <c r="Q45" i="14"/>
  <c r="Q40" i="14" s="1"/>
  <c r="O45" i="14"/>
  <c r="O40" i="14" s="1"/>
  <c r="K45" i="14"/>
  <c r="K40" i="14" s="1"/>
  <c r="J45" i="14"/>
  <c r="J40" i="14" s="1"/>
  <c r="I45" i="14"/>
  <c r="I40" i="14" s="1"/>
  <c r="S40" i="14"/>
  <c r="L40" i="14"/>
  <c r="AB39" i="14"/>
  <c r="AB37" i="14" s="1"/>
  <c r="AB36" i="14" s="1"/>
  <c r="AJ38" i="14"/>
  <c r="AJ37" i="14" s="1"/>
  <c r="AJ36" i="14" s="1"/>
  <c r="AI38" i="14"/>
  <c r="AI37" i="14" s="1"/>
  <c r="AI36" i="14" s="1"/>
  <c r="X38" i="14"/>
  <c r="X37" i="14" s="1"/>
  <c r="X36" i="14" s="1"/>
  <c r="P38" i="14"/>
  <c r="P37" i="14" s="1"/>
  <c r="P36" i="14" s="1"/>
  <c r="AN37" i="14"/>
  <c r="AN36" i="14" s="1"/>
  <c r="AM37" i="14"/>
  <c r="AM36" i="14" s="1"/>
  <c r="AL37" i="14"/>
  <c r="AL36" i="14" s="1"/>
  <c r="AK37" i="14"/>
  <c r="AK36" i="14" s="1"/>
  <c r="AH37" i="14"/>
  <c r="AH36" i="14" s="1"/>
  <c r="AH16" i="14" s="1"/>
  <c r="AH15" i="14" s="1"/>
  <c r="AH14" i="14" s="1"/>
  <c r="AG37" i="14"/>
  <c r="AG36" i="14" s="1"/>
  <c r="AF37" i="14"/>
  <c r="AF36" i="14" s="1"/>
  <c r="AE37" i="14"/>
  <c r="AE36" i="14" s="1"/>
  <c r="AD37" i="14"/>
  <c r="AD36" i="14" s="1"/>
  <c r="AC37" i="14"/>
  <c r="AC36" i="14" s="1"/>
  <c r="AA37" i="14"/>
  <c r="AA36" i="14" s="1"/>
  <c r="Z37" i="14"/>
  <c r="Z36" i="14" s="1"/>
  <c r="Y37" i="14"/>
  <c r="Y36" i="14" s="1"/>
  <c r="W37" i="14"/>
  <c r="W36" i="14" s="1"/>
  <c r="V37" i="14"/>
  <c r="V36" i="14" s="1"/>
  <c r="U37" i="14"/>
  <c r="U36" i="14" s="1"/>
  <c r="T37" i="14"/>
  <c r="T36" i="14" s="1"/>
  <c r="S37" i="14"/>
  <c r="S36" i="14" s="1"/>
  <c r="R37" i="14"/>
  <c r="R36" i="14" s="1"/>
  <c r="R16" i="14" s="1"/>
  <c r="R15" i="14" s="1"/>
  <c r="R14" i="14" s="1"/>
  <c r="Q37" i="14"/>
  <c r="Q36" i="14" s="1"/>
  <c r="Q16" i="14" s="1"/>
  <c r="Q15" i="14" s="1"/>
  <c r="Q14" i="14" s="1"/>
  <c r="O37" i="14"/>
  <c r="O36" i="14" s="1"/>
  <c r="N37" i="14"/>
  <c r="N36" i="14" s="1"/>
  <c r="M37" i="14"/>
  <c r="M36" i="14" s="1"/>
  <c r="J37" i="14"/>
  <c r="J36" i="14" s="1"/>
  <c r="I37" i="14"/>
  <c r="I36" i="14" s="1"/>
  <c r="L36" i="14"/>
  <c r="K36" i="14"/>
  <c r="B13" i="14"/>
  <c r="Y33" i="13"/>
  <c r="Q33" i="13"/>
  <c r="Q32" i="13" s="1"/>
  <c r="W32" i="13"/>
  <c r="V32" i="13"/>
  <c r="U32" i="13"/>
  <c r="T32" i="13"/>
  <c r="S32" i="13"/>
  <c r="R32" i="13"/>
  <c r="P32" i="13"/>
  <c r="O32" i="13"/>
  <c r="N32" i="13"/>
  <c r="M32" i="13"/>
  <c r="L32" i="13"/>
  <c r="K32" i="13"/>
  <c r="AA31" i="13"/>
  <c r="Y31" i="13"/>
  <c r="Q31" i="13"/>
  <c r="Q30" i="13" s="1"/>
  <c r="M31" i="13"/>
  <c r="M30" i="13" s="1"/>
  <c r="W30" i="13"/>
  <c r="V30" i="13"/>
  <c r="U30" i="13"/>
  <c r="T30" i="13"/>
  <c r="S30" i="13"/>
  <c r="R30" i="13"/>
  <c r="P30" i="13"/>
  <c r="O30" i="13"/>
  <c r="N30" i="13"/>
  <c r="L30" i="13"/>
  <c r="K30" i="13"/>
  <c r="Y29" i="13"/>
  <c r="Q29" i="13"/>
  <c r="Q28" i="13" s="1"/>
  <c r="W28" i="13"/>
  <c r="V28" i="13"/>
  <c r="U28" i="13"/>
  <c r="T28" i="13"/>
  <c r="S28" i="13"/>
  <c r="R28" i="13"/>
  <c r="P28" i="13"/>
  <c r="O28" i="13"/>
  <c r="N28" i="13"/>
  <c r="M28" i="13"/>
  <c r="L28" i="13"/>
  <c r="K28" i="13"/>
  <c r="Y27" i="13"/>
  <c r="Q27" i="13"/>
  <c r="Q26" i="13" s="1"/>
  <c r="M27" i="13"/>
  <c r="E27" i="13"/>
  <c r="D27" i="13"/>
  <c r="W26" i="13"/>
  <c r="V26" i="13"/>
  <c r="U26" i="13"/>
  <c r="T26" i="13"/>
  <c r="S26" i="13"/>
  <c r="R26" i="13"/>
  <c r="P26" i="13"/>
  <c r="O26" i="13"/>
  <c r="N26" i="13"/>
  <c r="M26" i="13"/>
  <c r="L26" i="13"/>
  <c r="K26" i="13"/>
  <c r="Y25" i="13"/>
  <c r="Q25" i="13"/>
  <c r="Y24" i="13"/>
  <c r="Q24" i="13"/>
  <c r="W23" i="13"/>
  <c r="V23" i="13"/>
  <c r="U23" i="13"/>
  <c r="T23" i="13"/>
  <c r="S23" i="13"/>
  <c r="R23" i="13"/>
  <c r="P23" i="13"/>
  <c r="O23" i="13"/>
  <c r="N23" i="13"/>
  <c r="M23" i="13"/>
  <c r="L23" i="13"/>
  <c r="Y23" i="13" s="1"/>
  <c r="K23" i="13"/>
  <c r="Y22" i="13"/>
  <c r="Q22" i="13"/>
  <c r="Y21" i="13"/>
  <c r="Q21" i="13"/>
  <c r="J21" i="13"/>
  <c r="AA20" i="13"/>
  <c r="Q20" i="13"/>
  <c r="L20" i="13"/>
  <c r="AE17" i="13" s="1"/>
  <c r="Y19" i="13"/>
  <c r="Q19" i="13"/>
  <c r="A19" i="13"/>
  <c r="A20" i="13" s="1"/>
  <c r="W18" i="13"/>
  <c r="V18" i="13"/>
  <c r="U18" i="13"/>
  <c r="T18" i="13"/>
  <c r="S18" i="13"/>
  <c r="R18" i="13"/>
  <c r="P18" i="13"/>
  <c r="O18" i="13"/>
  <c r="N18" i="13"/>
  <c r="M18" i="13"/>
  <c r="K18" i="13"/>
  <c r="AF17" i="13"/>
  <c r="AD17" i="13"/>
  <c r="AC17" i="13"/>
  <c r="AB17" i="13"/>
  <c r="AB18" i="13" s="1"/>
  <c r="Q15" i="13"/>
  <c r="Q14" i="13" s="1"/>
  <c r="Q13" i="13" s="1"/>
  <c r="Q12" i="13" s="1"/>
  <c r="L15" i="13"/>
  <c r="L14" i="13" s="1"/>
  <c r="L13" i="13" s="1"/>
  <c r="L12" i="13" s="1"/>
  <c r="A15" i="13"/>
  <c r="W14" i="13"/>
  <c r="W13" i="13" s="1"/>
  <c r="W12" i="13" s="1"/>
  <c r="V14" i="13"/>
  <c r="V13" i="13" s="1"/>
  <c r="V12" i="13" s="1"/>
  <c r="U14" i="13"/>
  <c r="U13" i="13" s="1"/>
  <c r="U12" i="13" s="1"/>
  <c r="T14" i="13"/>
  <c r="T13" i="13" s="1"/>
  <c r="T12" i="13" s="1"/>
  <c r="S14" i="13"/>
  <c r="S13" i="13" s="1"/>
  <c r="S12" i="13" s="1"/>
  <c r="R14" i="13"/>
  <c r="R13" i="13" s="1"/>
  <c r="R12" i="13" s="1"/>
  <c r="P14" i="13"/>
  <c r="P13" i="13" s="1"/>
  <c r="P12" i="13" s="1"/>
  <c r="O14" i="13"/>
  <c r="O13" i="13" s="1"/>
  <c r="O12" i="13" s="1"/>
  <c r="N14" i="13"/>
  <c r="N13" i="13" s="1"/>
  <c r="N12" i="13" s="1"/>
  <c r="M14" i="13"/>
  <c r="M13" i="13" s="1"/>
  <c r="M12" i="13" s="1"/>
  <c r="K14" i="13"/>
  <c r="K13" i="13" s="1"/>
  <c r="K12" i="13" s="1"/>
  <c r="AB9" i="13"/>
  <c r="AC7" i="13" s="1"/>
  <c r="S27" i="6"/>
  <c r="S26" i="6" s="1"/>
  <c r="P27" i="6"/>
  <c r="P26" i="6" s="1"/>
  <c r="AA26" i="6"/>
  <c r="R26" i="6"/>
  <c r="Q26" i="6"/>
  <c r="L26" i="6"/>
  <c r="K26" i="6"/>
  <c r="J26" i="6"/>
  <c r="S25" i="6"/>
  <c r="P25" i="6"/>
  <c r="S24" i="6"/>
  <c r="P24" i="6"/>
  <c r="S23" i="6"/>
  <c r="P23" i="6"/>
  <c r="L23" i="6"/>
  <c r="L22" i="6" s="1"/>
  <c r="AA22" i="6"/>
  <c r="R22" i="6"/>
  <c r="Q22" i="6"/>
  <c r="K22" i="6"/>
  <c r="J22" i="6"/>
  <c r="S21" i="6"/>
  <c r="S20" i="6" s="1"/>
  <c r="P21" i="6"/>
  <c r="P20" i="6" s="1"/>
  <c r="J21" i="6"/>
  <c r="J20" i="6" s="1"/>
  <c r="AA20" i="6"/>
  <c r="R20" i="6"/>
  <c r="Q20" i="6"/>
  <c r="L20" i="6"/>
  <c r="K20" i="6"/>
  <c r="S19" i="6"/>
  <c r="S18" i="6" s="1"/>
  <c r="P19" i="6"/>
  <c r="P18" i="6" s="1"/>
  <c r="L19" i="6"/>
  <c r="L18" i="6" s="1"/>
  <c r="A19" i="6"/>
  <c r="A21" i="6" s="1"/>
  <c r="A23" i="6" s="1"/>
  <c r="AA18" i="6"/>
  <c r="R18" i="6"/>
  <c r="Q18" i="6"/>
  <c r="K18" i="6"/>
  <c r="J18" i="6"/>
  <c r="AE17" i="6"/>
  <c r="S17" i="6"/>
  <c r="P17" i="6"/>
  <c r="AE16" i="6"/>
  <c r="S16" i="6"/>
  <c r="P16" i="6"/>
  <c r="AC15" i="6"/>
  <c r="S15" i="6"/>
  <c r="P15" i="6"/>
  <c r="T14" i="6"/>
  <c r="T13" i="6" s="1"/>
  <c r="T12" i="6" s="1"/>
  <c r="P14" i="6"/>
  <c r="AA13" i="6"/>
  <c r="R13" i="6"/>
  <c r="Q13" i="6"/>
  <c r="L13" i="6"/>
  <c r="K13" i="6"/>
  <c r="J13" i="6"/>
  <c r="U456" i="5"/>
  <c r="T456" i="5"/>
  <c r="S456" i="5"/>
  <c r="R456" i="5"/>
  <c r="Q456" i="5"/>
  <c r="P456" i="5"/>
  <c r="O456" i="5"/>
  <c r="N456" i="5"/>
  <c r="M456" i="5"/>
  <c r="L456" i="5"/>
  <c r="K456" i="5"/>
  <c r="U454" i="5"/>
  <c r="T454" i="5"/>
  <c r="S454" i="5"/>
  <c r="R454" i="5"/>
  <c r="Q454" i="5"/>
  <c r="P454" i="5"/>
  <c r="O454" i="5"/>
  <c r="N454" i="5"/>
  <c r="M454" i="5"/>
  <c r="L454" i="5"/>
  <c r="K454" i="5"/>
  <c r="M451" i="5"/>
  <c r="M450" i="5" s="1"/>
  <c r="U450" i="5"/>
  <c r="T450" i="5"/>
  <c r="S450" i="5"/>
  <c r="R450" i="5"/>
  <c r="Q450" i="5"/>
  <c r="P450" i="5"/>
  <c r="O450" i="5"/>
  <c r="N450" i="5"/>
  <c r="L450" i="5"/>
  <c r="S433" i="5"/>
  <c r="M433" i="5"/>
  <c r="S432" i="5"/>
  <c r="M432" i="5"/>
  <c r="S431" i="5"/>
  <c r="M431" i="5"/>
  <c r="S430" i="5"/>
  <c r="M430" i="5"/>
  <c r="S429" i="5"/>
  <c r="M429" i="5"/>
  <c r="S428" i="5"/>
  <c r="M428" i="5"/>
  <c r="S427" i="5"/>
  <c r="M427" i="5"/>
  <c r="S426" i="5"/>
  <c r="M426" i="5"/>
  <c r="S425" i="5"/>
  <c r="M425" i="5"/>
  <c r="V424" i="5"/>
  <c r="U424" i="5"/>
  <c r="T424" i="5"/>
  <c r="R424" i="5"/>
  <c r="Q424" i="5"/>
  <c r="P424" i="5"/>
  <c r="O424" i="5"/>
  <c r="N424" i="5"/>
  <c r="L424" i="5"/>
  <c r="K424" i="5"/>
  <c r="M422" i="5"/>
  <c r="M421" i="5"/>
  <c r="M420" i="5"/>
  <c r="M419" i="5"/>
  <c r="M418" i="5"/>
  <c r="M417" i="5"/>
  <c r="M416" i="5"/>
  <c r="M415" i="5"/>
  <c r="M413" i="5"/>
  <c r="U407" i="5"/>
  <c r="T407" i="5"/>
  <c r="S407" i="5"/>
  <c r="R407" i="5"/>
  <c r="Q407" i="5"/>
  <c r="P407" i="5"/>
  <c r="O407" i="5"/>
  <c r="N407" i="5"/>
  <c r="L407" i="5"/>
  <c r="K407" i="5"/>
  <c r="K406" i="5"/>
  <c r="K397" i="5" s="1"/>
  <c r="S401" i="5"/>
  <c r="S398" i="5"/>
  <c r="S397" i="5" s="1"/>
  <c r="U397" i="5"/>
  <c r="T397" i="5"/>
  <c r="R397" i="5"/>
  <c r="Q397" i="5"/>
  <c r="P397" i="5"/>
  <c r="O397" i="5"/>
  <c r="N397" i="5"/>
  <c r="M397" i="5"/>
  <c r="L397" i="5"/>
  <c r="S396" i="5"/>
  <c r="AA396" i="5" s="1"/>
  <c r="L396" i="5"/>
  <c r="M396" i="5" s="1"/>
  <c r="S395" i="5"/>
  <c r="AA395" i="5" s="1"/>
  <c r="L395" i="5"/>
  <c r="M395" i="5" s="1"/>
  <c r="W395" i="5" s="1"/>
  <c r="S394" i="5"/>
  <c r="AA394" i="5" s="1"/>
  <c r="L394" i="5"/>
  <c r="M394" i="5" s="1"/>
  <c r="S393" i="5"/>
  <c r="AA393" i="5" s="1"/>
  <c r="L393" i="5"/>
  <c r="M393" i="5" s="1"/>
  <c r="S392" i="5"/>
  <c r="AA392" i="5" s="1"/>
  <c r="L392" i="5"/>
  <c r="M392" i="5" s="1"/>
  <c r="S391" i="5"/>
  <c r="AA391" i="5" s="1"/>
  <c r="L391" i="5"/>
  <c r="M391" i="5" s="1"/>
  <c r="W391" i="5" s="1"/>
  <c r="M390" i="5"/>
  <c r="M389" i="5"/>
  <c r="M381" i="5"/>
  <c r="K381" i="5"/>
  <c r="K378" i="5" s="1"/>
  <c r="U378" i="5"/>
  <c r="T378" i="5"/>
  <c r="R378" i="5"/>
  <c r="Q378" i="5"/>
  <c r="P378" i="5"/>
  <c r="O378" i="5"/>
  <c r="N378" i="5"/>
  <c r="R377" i="5"/>
  <c r="R369" i="5" s="1"/>
  <c r="M376" i="5"/>
  <c r="M375" i="5"/>
  <c r="M374" i="5"/>
  <c r="M373" i="5"/>
  <c r="M370" i="5"/>
  <c r="U369" i="5"/>
  <c r="T369" i="5"/>
  <c r="S369" i="5"/>
  <c r="P369" i="5"/>
  <c r="O369" i="5"/>
  <c r="N369" i="5"/>
  <c r="L369" i="5"/>
  <c r="K369" i="5"/>
  <c r="S368" i="5"/>
  <c r="R368" i="5"/>
  <c r="R357" i="5" s="1"/>
  <c r="D368" i="5"/>
  <c r="S367" i="5"/>
  <c r="R367" i="5"/>
  <c r="D367" i="5"/>
  <c r="D366" i="5"/>
  <c r="D365" i="5"/>
  <c r="U357" i="5"/>
  <c r="T357" i="5"/>
  <c r="Q357" i="5"/>
  <c r="P357" i="5"/>
  <c r="O357" i="5"/>
  <c r="N357" i="5"/>
  <c r="M357" i="5"/>
  <c r="L357" i="5"/>
  <c r="K357" i="5"/>
  <c r="K356" i="5"/>
  <c r="S356" i="5" s="1"/>
  <c r="K355" i="5"/>
  <c r="K354" i="5"/>
  <c r="S354" i="5" s="1"/>
  <c r="K353" i="5"/>
  <c r="S353" i="5" s="1"/>
  <c r="K352" i="5"/>
  <c r="S352" i="5" s="1"/>
  <c r="K351" i="5"/>
  <c r="S351" i="5" s="1"/>
  <c r="K350" i="5"/>
  <c r="S350" i="5" s="1"/>
  <c r="K349" i="5"/>
  <c r="S349" i="5" s="1"/>
  <c r="K348" i="5"/>
  <c r="S348" i="5" s="1"/>
  <c r="K347" i="5"/>
  <c r="S347" i="5" s="1"/>
  <c r="K346" i="5"/>
  <c r="S346" i="5" s="1"/>
  <c r="K345" i="5"/>
  <c r="S345" i="5" s="1"/>
  <c r="K344" i="5"/>
  <c r="S344" i="5" s="1"/>
  <c r="K343" i="5"/>
  <c r="R340" i="5"/>
  <c r="S340" i="5" s="1"/>
  <c r="D340" i="5"/>
  <c r="R339" i="5"/>
  <c r="S339" i="5" s="1"/>
  <c r="E339" i="5"/>
  <c r="D339" i="5"/>
  <c r="M338" i="5"/>
  <c r="K337" i="5"/>
  <c r="M336" i="5"/>
  <c r="M335" i="5"/>
  <c r="U333" i="5"/>
  <c r="T333" i="5"/>
  <c r="Q333" i="5"/>
  <c r="P333" i="5"/>
  <c r="O333" i="5"/>
  <c r="N333" i="5"/>
  <c r="L333" i="5"/>
  <c r="S330" i="5"/>
  <c r="S328" i="5"/>
  <c r="R328" i="5"/>
  <c r="R235" i="5" s="1"/>
  <c r="D328" i="5"/>
  <c r="M327" i="5"/>
  <c r="S327" i="5" s="1"/>
  <c r="Q327" i="5" s="1"/>
  <c r="E327" i="5"/>
  <c r="D327" i="5"/>
  <c r="M326" i="5"/>
  <c r="S326" i="5" s="1"/>
  <c r="Q326" i="5" s="1"/>
  <c r="E326" i="5"/>
  <c r="D326" i="5"/>
  <c r="M325" i="5"/>
  <c r="S325" i="5" s="1"/>
  <c r="Q325" i="5" s="1"/>
  <c r="E325" i="5"/>
  <c r="D325" i="5"/>
  <c r="M324" i="5"/>
  <c r="S324" i="5" s="1"/>
  <c r="Q324" i="5" s="1"/>
  <c r="E324" i="5"/>
  <c r="D324" i="5"/>
  <c r="M323" i="5"/>
  <c r="S323" i="5" s="1"/>
  <c r="Q323" i="5" s="1"/>
  <c r="E323" i="5"/>
  <c r="D323" i="5"/>
  <c r="M322" i="5"/>
  <c r="S322" i="5" s="1"/>
  <c r="Q322" i="5" s="1"/>
  <c r="E322" i="5"/>
  <c r="D322" i="5"/>
  <c r="M321" i="5"/>
  <c r="S321" i="5" s="1"/>
  <c r="Q321" i="5" s="1"/>
  <c r="E321" i="5"/>
  <c r="D321" i="5"/>
  <c r="M320" i="5"/>
  <c r="S320" i="5" s="1"/>
  <c r="Q320" i="5" s="1"/>
  <c r="E320" i="5"/>
  <c r="D320" i="5"/>
  <c r="M319" i="5"/>
  <c r="S319" i="5" s="1"/>
  <c r="Q319" i="5" s="1"/>
  <c r="E319" i="5"/>
  <c r="D319" i="5"/>
  <c r="M318" i="5"/>
  <c r="S318" i="5" s="1"/>
  <c r="Q318" i="5" s="1"/>
  <c r="E318" i="5"/>
  <c r="D318" i="5"/>
  <c r="M317" i="5"/>
  <c r="S317" i="5" s="1"/>
  <c r="Q317" i="5" s="1"/>
  <c r="E317" i="5"/>
  <c r="D317" i="5"/>
  <c r="M316" i="5"/>
  <c r="S316" i="5" s="1"/>
  <c r="Q316" i="5" s="1"/>
  <c r="E316" i="5"/>
  <c r="D316" i="5"/>
  <c r="M315" i="5"/>
  <c r="S315" i="5" s="1"/>
  <c r="Q315" i="5" s="1"/>
  <c r="E315" i="5"/>
  <c r="D315" i="5"/>
  <c r="M314" i="5"/>
  <c r="S314" i="5" s="1"/>
  <c r="Q314" i="5" s="1"/>
  <c r="E314" i="5"/>
  <c r="D314" i="5"/>
  <c r="M313" i="5"/>
  <c r="S313" i="5" s="1"/>
  <c r="Q313" i="5" s="1"/>
  <c r="E313" i="5"/>
  <c r="D313" i="5"/>
  <c r="M312" i="5"/>
  <c r="S312" i="5" s="1"/>
  <c r="Q312" i="5" s="1"/>
  <c r="E312" i="5"/>
  <c r="D312" i="5"/>
  <c r="M311" i="5"/>
  <c r="S311" i="5" s="1"/>
  <c r="Q311" i="5" s="1"/>
  <c r="E311" i="5"/>
  <c r="D311" i="5"/>
  <c r="M310" i="5"/>
  <c r="S310" i="5" s="1"/>
  <c r="Q310" i="5" s="1"/>
  <c r="E310" i="5"/>
  <c r="D310" i="5"/>
  <c r="M309" i="5"/>
  <c r="S309" i="5" s="1"/>
  <c r="Q309" i="5" s="1"/>
  <c r="E309" i="5"/>
  <c r="D309" i="5"/>
  <c r="M308" i="5"/>
  <c r="S308" i="5" s="1"/>
  <c r="Q308" i="5" s="1"/>
  <c r="E308" i="5"/>
  <c r="D308" i="5"/>
  <c r="M307" i="5"/>
  <c r="S307" i="5" s="1"/>
  <c r="Q307" i="5" s="1"/>
  <c r="E307" i="5"/>
  <c r="D307" i="5"/>
  <c r="M306" i="5"/>
  <c r="S306" i="5" s="1"/>
  <c r="Q306" i="5" s="1"/>
  <c r="E306" i="5"/>
  <c r="D306" i="5"/>
  <c r="M305" i="5"/>
  <c r="S305" i="5" s="1"/>
  <c r="Q305" i="5" s="1"/>
  <c r="E305" i="5"/>
  <c r="D305" i="5"/>
  <c r="M304" i="5"/>
  <c r="S304" i="5" s="1"/>
  <c r="Q304" i="5" s="1"/>
  <c r="E304" i="5"/>
  <c r="D304" i="5"/>
  <c r="M303" i="5"/>
  <c r="E303" i="5"/>
  <c r="D303" i="5"/>
  <c r="S248" i="5"/>
  <c r="U235" i="5"/>
  <c r="T235" i="5"/>
  <c r="P235" i="5"/>
  <c r="O235" i="5"/>
  <c r="N235" i="5"/>
  <c r="L235" i="5"/>
  <c r="K235" i="5"/>
  <c r="Q234" i="5"/>
  <c r="L234" i="5"/>
  <c r="M234" i="5" s="1"/>
  <c r="D234" i="5"/>
  <c r="Q233" i="5"/>
  <c r="L233" i="5"/>
  <c r="M233" i="5" s="1"/>
  <c r="D233" i="5"/>
  <c r="Q232" i="5"/>
  <c r="L232" i="5"/>
  <c r="M232" i="5" s="1"/>
  <c r="D232" i="5"/>
  <c r="Q231" i="5"/>
  <c r="L231" i="5"/>
  <c r="M231" i="5" s="1"/>
  <c r="D231" i="5"/>
  <c r="Q230" i="5"/>
  <c r="L230" i="5"/>
  <c r="M230" i="5" s="1"/>
  <c r="D230" i="5"/>
  <c r="Q229" i="5"/>
  <c r="L229" i="5"/>
  <c r="M229" i="5" s="1"/>
  <c r="D229" i="5"/>
  <c r="Q228" i="5"/>
  <c r="L228" i="5"/>
  <c r="M228" i="5" s="1"/>
  <c r="D228" i="5"/>
  <c r="Q227" i="5"/>
  <c r="L227" i="5"/>
  <c r="M227" i="5" s="1"/>
  <c r="D227" i="5"/>
  <c r="Q226" i="5"/>
  <c r="L226" i="5"/>
  <c r="M226" i="5" s="1"/>
  <c r="D226" i="5"/>
  <c r="Q225" i="5"/>
  <c r="L225" i="5"/>
  <c r="M225" i="5" s="1"/>
  <c r="D225" i="5"/>
  <c r="S224" i="5"/>
  <c r="L224" i="5"/>
  <c r="M224" i="5" s="1"/>
  <c r="D224" i="5"/>
  <c r="S223" i="5"/>
  <c r="L223" i="5"/>
  <c r="M223" i="5" s="1"/>
  <c r="D223" i="5"/>
  <c r="S222" i="5"/>
  <c r="L222" i="5"/>
  <c r="M222" i="5" s="1"/>
  <c r="D222" i="5"/>
  <c r="S221" i="5"/>
  <c r="L221" i="5"/>
  <c r="M221" i="5" s="1"/>
  <c r="D221" i="5"/>
  <c r="K220" i="5"/>
  <c r="K219" i="5"/>
  <c r="K218" i="5"/>
  <c r="K217" i="5"/>
  <c r="M216" i="5"/>
  <c r="U214" i="5"/>
  <c r="T214" i="5"/>
  <c r="R214" i="5"/>
  <c r="P214" i="5"/>
  <c r="O214" i="5"/>
  <c r="N214" i="5"/>
  <c r="M186" i="5"/>
  <c r="M185" i="5"/>
  <c r="M183" i="5"/>
  <c r="N169" i="5"/>
  <c r="N168" i="5"/>
  <c r="M168" i="5"/>
  <c r="N167" i="5"/>
  <c r="M167" i="5"/>
  <c r="S165" i="5"/>
  <c r="S164" i="5"/>
  <c r="S163" i="5"/>
  <c r="S162" i="5"/>
  <c r="S161" i="5"/>
  <c r="S160" i="5"/>
  <c r="S159" i="5"/>
  <c r="S157" i="5"/>
  <c r="S156" i="5"/>
  <c r="S155" i="5"/>
  <c r="U154" i="5"/>
  <c r="T154" i="5"/>
  <c r="S154" i="5"/>
  <c r="R154" i="5"/>
  <c r="Q154" i="5"/>
  <c r="P154" i="5"/>
  <c r="O154" i="5"/>
  <c r="L154" i="5"/>
  <c r="K154" i="5"/>
  <c r="S151" i="5"/>
  <c r="S150" i="5"/>
  <c r="M136" i="5"/>
  <c r="M135" i="5"/>
  <c r="M134" i="5"/>
  <c r="M104" i="5"/>
  <c r="M103" i="5"/>
  <c r="K103" i="5" s="1"/>
  <c r="M100" i="5"/>
  <c r="M96" i="5"/>
  <c r="K96" i="5" s="1"/>
  <c r="K95" i="5"/>
  <c r="M56" i="5"/>
  <c r="S56" i="5" s="1"/>
  <c r="M55" i="5"/>
  <c r="S55" i="5" s="1"/>
  <c r="M54" i="5"/>
  <c r="S54" i="5" s="1"/>
  <c r="M53" i="5"/>
  <c r="S53" i="5" s="1"/>
  <c r="M52" i="5"/>
  <c r="S52" i="5" s="1"/>
  <c r="U51" i="5"/>
  <c r="T51" i="5"/>
  <c r="R51" i="5"/>
  <c r="Q51" i="5"/>
  <c r="P51" i="5"/>
  <c r="O51" i="5"/>
  <c r="N51" i="5"/>
  <c r="L51" i="5"/>
  <c r="K49" i="5"/>
  <c r="K48" i="5" s="1"/>
  <c r="V48" i="5"/>
  <c r="U48" i="5"/>
  <c r="T48" i="5"/>
  <c r="S48" i="5"/>
  <c r="R48" i="5"/>
  <c r="Q48" i="5"/>
  <c r="P48" i="5"/>
  <c r="O48" i="5"/>
  <c r="N48" i="5"/>
  <c r="M48" i="5"/>
  <c r="L48" i="5"/>
  <c r="U46" i="5"/>
  <c r="T46" i="5"/>
  <c r="S46" i="5"/>
  <c r="R46" i="5"/>
  <c r="Q46" i="5"/>
  <c r="P46" i="5"/>
  <c r="O46" i="5"/>
  <c r="N46" i="5"/>
  <c r="M46" i="5"/>
  <c r="L46" i="5"/>
  <c r="K46" i="5"/>
  <c r="K45" i="5"/>
  <c r="V44" i="5"/>
  <c r="U44" i="5"/>
  <c r="T44" i="5"/>
  <c r="S44" i="5"/>
  <c r="R44" i="5"/>
  <c r="Q44" i="5"/>
  <c r="P44" i="5"/>
  <c r="O44" i="5"/>
  <c r="N44" i="5"/>
  <c r="M44" i="5"/>
  <c r="L44" i="5"/>
  <c r="K44" i="5"/>
  <c r="Q39" i="5"/>
  <c r="Q37" i="5" s="1"/>
  <c r="L39" i="5"/>
  <c r="L37" i="5" s="1"/>
  <c r="U37" i="5"/>
  <c r="T37" i="5"/>
  <c r="S37" i="5"/>
  <c r="R37" i="5"/>
  <c r="P37" i="5"/>
  <c r="O37" i="5"/>
  <c r="N37" i="5"/>
  <c r="M37" i="5"/>
  <c r="K37" i="5"/>
  <c r="U34" i="5"/>
  <c r="T34" i="5"/>
  <c r="S34" i="5"/>
  <c r="R34" i="5"/>
  <c r="Q34" i="5"/>
  <c r="P34" i="5"/>
  <c r="O34" i="5"/>
  <c r="N34" i="5"/>
  <c r="M34" i="5"/>
  <c r="L34" i="5"/>
  <c r="K34" i="5"/>
  <c r="U30" i="5"/>
  <c r="T30" i="5"/>
  <c r="S30" i="5"/>
  <c r="R30" i="5"/>
  <c r="Q30" i="5"/>
  <c r="P30" i="5"/>
  <c r="O30" i="5"/>
  <c r="N30" i="5"/>
  <c r="M30" i="5"/>
  <c r="L30" i="5"/>
  <c r="K30" i="5"/>
  <c r="U28" i="5"/>
  <c r="T28" i="5"/>
  <c r="S28" i="5"/>
  <c r="R28" i="5"/>
  <c r="Q28" i="5"/>
  <c r="P28" i="5"/>
  <c r="O28" i="5"/>
  <c r="N28" i="5"/>
  <c r="M28" i="5"/>
  <c r="L28" i="5"/>
  <c r="K28" i="5"/>
  <c r="M27" i="5"/>
  <c r="M25" i="5"/>
  <c r="L22" i="5"/>
  <c r="L21" i="5"/>
  <c r="Q20" i="5"/>
  <c r="L20" i="5"/>
  <c r="Q19" i="5"/>
  <c r="L19" i="5"/>
  <c r="P18" i="5"/>
  <c r="P13" i="5" s="1"/>
  <c r="L18" i="5"/>
  <c r="L17" i="5"/>
  <c r="M17" i="5" s="1"/>
  <c r="L16" i="5"/>
  <c r="M16" i="5" s="1"/>
  <c r="S16" i="5" s="1"/>
  <c r="M15" i="5"/>
  <c r="S15" i="5" s="1"/>
  <c r="L15" i="5"/>
  <c r="A15" i="5"/>
  <c r="S14" i="5"/>
  <c r="U13" i="5"/>
  <c r="T13" i="5"/>
  <c r="R13" i="5"/>
  <c r="O13" i="5"/>
  <c r="N13" i="5"/>
  <c r="K13" i="5"/>
  <c r="W10" i="5"/>
  <c r="AB7" i="5"/>
  <c r="W6" i="5"/>
  <c r="L10" i="4"/>
  <c r="F17" i="2" s="1"/>
  <c r="K10" i="4"/>
  <c r="J10" i="4"/>
  <c r="I10" i="4"/>
  <c r="H10" i="4"/>
  <c r="G10" i="4"/>
  <c r="F10" i="4"/>
  <c r="A121" i="1"/>
  <c r="A122" i="1" s="1"/>
  <c r="A123" i="1" s="1"/>
  <c r="A124" i="1" s="1"/>
  <c r="A125" i="1" s="1"/>
  <c r="A126" i="1" s="1"/>
  <c r="A127" i="1" s="1"/>
  <c r="A128" i="1" s="1"/>
  <c r="A129" i="1" s="1"/>
  <c r="A130" i="1" s="1"/>
  <c r="A131" i="1" s="1"/>
  <c r="A132" i="1" s="1"/>
  <c r="A133" i="1" s="1"/>
  <c r="A134" i="1" s="1"/>
  <c r="A135" i="1" s="1"/>
  <c r="A136" i="1" s="1"/>
  <c r="W119" i="1"/>
  <c r="I118" i="1"/>
  <c r="I113" i="1" s="1"/>
  <c r="FT113" i="1"/>
  <c r="FT111" i="1" s="1"/>
  <c r="Y113" i="1"/>
  <c r="X113" i="1"/>
  <c r="W113" i="1"/>
  <c r="V113" i="1"/>
  <c r="U113" i="1"/>
  <c r="T113" i="1"/>
  <c r="S113" i="1"/>
  <c r="R113" i="1"/>
  <c r="Q113" i="1"/>
  <c r="P113" i="1"/>
  <c r="O113" i="1"/>
  <c r="N113" i="1"/>
  <c r="M113" i="1"/>
  <c r="L113" i="1"/>
  <c r="K113" i="1"/>
  <c r="J113" i="1"/>
  <c r="H113" i="1"/>
  <c r="S110" i="1"/>
  <c r="V110" i="1" s="1"/>
  <c r="S109" i="1"/>
  <c r="V109" i="1" s="1"/>
  <c r="R109" i="1"/>
  <c r="Q109" i="1"/>
  <c r="P109" i="1"/>
  <c r="S108" i="1"/>
  <c r="V108" i="1" s="1"/>
  <c r="R108" i="1"/>
  <c r="Q108" i="1"/>
  <c r="P108" i="1"/>
  <c r="AL108" i="1" s="1"/>
  <c r="FT107" i="1"/>
  <c r="Y107" i="1"/>
  <c r="X107" i="1"/>
  <c r="W107" i="1"/>
  <c r="U107" i="1"/>
  <c r="T107" i="1"/>
  <c r="N107" i="1"/>
  <c r="L107" i="1"/>
  <c r="K107" i="1"/>
  <c r="J107" i="1"/>
  <c r="I107" i="1"/>
  <c r="H107" i="1"/>
  <c r="V106" i="1"/>
  <c r="S106" i="1"/>
  <c r="V105" i="1"/>
  <c r="S105" i="1"/>
  <c r="V104" i="1"/>
  <c r="S104" i="1"/>
  <c r="R104" i="1"/>
  <c r="R103" i="1" s="1"/>
  <c r="Q104" i="1"/>
  <c r="Q103" i="1" s="1"/>
  <c r="P104" i="1"/>
  <c r="AL104" i="1" s="1"/>
  <c r="FT103" i="1"/>
  <c r="Y103" i="1"/>
  <c r="X103" i="1"/>
  <c r="AB103" i="1" s="1"/>
  <c r="W103" i="1"/>
  <c r="U103" i="1"/>
  <c r="T103" i="1"/>
  <c r="N103" i="1"/>
  <c r="L103" i="1"/>
  <c r="K103" i="1"/>
  <c r="J103" i="1"/>
  <c r="I103" i="1"/>
  <c r="H103" i="1"/>
  <c r="AL102" i="1"/>
  <c r="V102" i="1"/>
  <c r="S102" i="1"/>
  <c r="V101" i="1"/>
  <c r="S101" i="1"/>
  <c r="FT100" i="1"/>
  <c r="Y100" i="1"/>
  <c r="X100" i="1"/>
  <c r="AB100" i="1" s="1"/>
  <c r="W100" i="1"/>
  <c r="U100" i="1"/>
  <c r="T100" i="1"/>
  <c r="R100" i="1"/>
  <c r="Q100" i="1"/>
  <c r="P100" i="1"/>
  <c r="O100" i="1"/>
  <c r="N100" i="1"/>
  <c r="M100" i="1"/>
  <c r="L100" i="1"/>
  <c r="K100" i="1"/>
  <c r="J100" i="1"/>
  <c r="I100" i="1"/>
  <c r="H100" i="1"/>
  <c r="FT98" i="1"/>
  <c r="Y98" i="1"/>
  <c r="X98" i="1"/>
  <c r="AB98" i="1" s="1"/>
  <c r="W98" i="1"/>
  <c r="V98" i="1"/>
  <c r="U98" i="1"/>
  <c r="T98" i="1"/>
  <c r="S98" i="1"/>
  <c r="R98" i="1"/>
  <c r="Q98" i="1"/>
  <c r="P98" i="1"/>
  <c r="O98" i="1"/>
  <c r="N98" i="1"/>
  <c r="M98" i="1"/>
  <c r="L98" i="1"/>
  <c r="K98" i="1"/>
  <c r="J98" i="1"/>
  <c r="I98" i="1"/>
  <c r="H98" i="1"/>
  <c r="FT96" i="1"/>
  <c r="Y96" i="1"/>
  <c r="X96" i="1"/>
  <c r="AB96" i="1" s="1"/>
  <c r="W96" i="1"/>
  <c r="V96" i="1"/>
  <c r="U96" i="1"/>
  <c r="T96" i="1"/>
  <c r="S96" i="1"/>
  <c r="R96" i="1"/>
  <c r="Q96" i="1"/>
  <c r="P96" i="1"/>
  <c r="O96" i="1"/>
  <c r="N96" i="1"/>
  <c r="M96" i="1"/>
  <c r="L96" i="1"/>
  <c r="K96" i="1"/>
  <c r="J96" i="1"/>
  <c r="I96" i="1"/>
  <c r="H96" i="1"/>
  <c r="W95" i="1"/>
  <c r="W94" i="1" s="1"/>
  <c r="V95" i="1"/>
  <c r="V94" i="1" s="1"/>
  <c r="FT94" i="1"/>
  <c r="Y94" i="1"/>
  <c r="X94" i="1"/>
  <c r="AB94" i="1" s="1"/>
  <c r="U94" i="1"/>
  <c r="T94" i="1"/>
  <c r="S94" i="1"/>
  <c r="R94" i="1"/>
  <c r="Q94" i="1"/>
  <c r="P94" i="1"/>
  <c r="O94" i="1"/>
  <c r="N94" i="1"/>
  <c r="M94" i="1"/>
  <c r="L94" i="1"/>
  <c r="K94" i="1"/>
  <c r="J94" i="1"/>
  <c r="I94" i="1"/>
  <c r="H94" i="1"/>
  <c r="S91" i="1"/>
  <c r="S90" i="1" s="1"/>
  <c r="FT90" i="1"/>
  <c r="Y90" i="1"/>
  <c r="X90" i="1"/>
  <c r="AB90" i="1" s="1"/>
  <c r="W90" i="1"/>
  <c r="V90" i="1"/>
  <c r="U90" i="1"/>
  <c r="T90" i="1"/>
  <c r="R90" i="1"/>
  <c r="Q90" i="1"/>
  <c r="P90" i="1"/>
  <c r="O90" i="1"/>
  <c r="N90" i="1"/>
  <c r="M90" i="1"/>
  <c r="L90" i="1"/>
  <c r="K90" i="1"/>
  <c r="J90" i="1"/>
  <c r="I90" i="1"/>
  <c r="H90" i="1"/>
  <c r="FT85" i="1"/>
  <c r="Y85" i="1"/>
  <c r="X85" i="1"/>
  <c r="AB85" i="1" s="1"/>
  <c r="W85" i="1"/>
  <c r="V85" i="1"/>
  <c r="U85" i="1"/>
  <c r="T85" i="1"/>
  <c r="S85" i="1"/>
  <c r="R85" i="1"/>
  <c r="Q85" i="1"/>
  <c r="P85" i="1"/>
  <c r="O85" i="1"/>
  <c r="N85" i="1"/>
  <c r="M85" i="1"/>
  <c r="L85" i="1"/>
  <c r="K85" i="1"/>
  <c r="J85" i="1"/>
  <c r="I85" i="1"/>
  <c r="H85" i="1"/>
  <c r="V84" i="1"/>
  <c r="W84" i="1" s="1"/>
  <c r="S84" i="1"/>
  <c r="V83" i="1"/>
  <c r="S83" i="1"/>
  <c r="V82" i="1"/>
  <c r="S82" i="1"/>
  <c r="H82" i="1"/>
  <c r="V81" i="1"/>
  <c r="S81" i="1"/>
  <c r="H81" i="1"/>
  <c r="W81" i="1" s="1"/>
  <c r="V80" i="1"/>
  <c r="S80" i="1"/>
  <c r="H80" i="1"/>
  <c r="W80" i="1" s="1"/>
  <c r="V79" i="1"/>
  <c r="S79" i="1"/>
  <c r="V78" i="1"/>
  <c r="W78" i="1" s="1"/>
  <c r="S78" i="1"/>
  <c r="V77" i="1"/>
  <c r="W77" i="1" s="1"/>
  <c r="S77" i="1"/>
  <c r="V76" i="1"/>
  <c r="W76" i="1" s="1"/>
  <c r="S76" i="1"/>
  <c r="V75" i="1"/>
  <c r="W75" i="1" s="1"/>
  <c r="S75" i="1"/>
  <c r="V74" i="1"/>
  <c r="W74" i="1" s="1"/>
  <c r="S74" i="1"/>
  <c r="V73" i="1"/>
  <c r="W73" i="1" s="1"/>
  <c r="S73" i="1"/>
  <c r="V72" i="1"/>
  <c r="W72" i="1" s="1"/>
  <c r="S72" i="1"/>
  <c r="V71" i="1"/>
  <c r="W71" i="1" s="1"/>
  <c r="S71" i="1"/>
  <c r="V70" i="1"/>
  <c r="W70" i="1" s="1"/>
  <c r="S70" i="1"/>
  <c r="V69" i="1"/>
  <c r="W69" i="1" s="1"/>
  <c r="S69" i="1"/>
  <c r="V68" i="1"/>
  <c r="W68" i="1" s="1"/>
  <c r="S68" i="1"/>
  <c r="V67" i="1"/>
  <c r="W67" i="1" s="1"/>
  <c r="S67" i="1"/>
  <c r="V66" i="1"/>
  <c r="W66" i="1" s="1"/>
  <c r="S66" i="1"/>
  <c r="V65" i="1"/>
  <c r="W65" i="1" s="1"/>
  <c r="S65" i="1"/>
  <c r="H65" i="1"/>
  <c r="V64" i="1"/>
  <c r="W64" i="1" s="1"/>
  <c r="S64" i="1"/>
  <c r="H64" i="1"/>
  <c r="V63" i="1"/>
  <c r="W63" i="1" s="1"/>
  <c r="S63" i="1"/>
  <c r="H63" i="1"/>
  <c r="V62" i="1"/>
  <c r="W62" i="1" s="1"/>
  <c r="S62" i="1"/>
  <c r="H62" i="1"/>
  <c r="V61" i="1"/>
  <c r="W61" i="1" s="1"/>
  <c r="S61" i="1"/>
  <c r="H61" i="1"/>
  <c r="W60" i="1"/>
  <c r="V60" i="1"/>
  <c r="S60" i="1"/>
  <c r="V59" i="1"/>
  <c r="S59" i="1"/>
  <c r="V58" i="1"/>
  <c r="W58" i="1" s="1"/>
  <c r="S58" i="1"/>
  <c r="V57" i="1"/>
  <c r="W57" i="1" s="1"/>
  <c r="S57" i="1"/>
  <c r="V56" i="1"/>
  <c r="S56" i="1"/>
  <c r="R56" i="1"/>
  <c r="P56" i="1"/>
  <c r="H56" i="1"/>
  <c r="V55" i="1"/>
  <c r="S55" i="1"/>
  <c r="R55" i="1"/>
  <c r="O55" i="1" s="1"/>
  <c r="M55" i="1" s="1"/>
  <c r="H55" i="1"/>
  <c r="V54" i="1"/>
  <c r="S54" i="1"/>
  <c r="V112" i="1"/>
  <c r="V111" i="1" s="1"/>
  <c r="S112" i="1"/>
  <c r="S111" i="1" s="1"/>
  <c r="V53" i="1"/>
  <c r="S53" i="1"/>
  <c r="R53" i="1"/>
  <c r="Q53" i="1"/>
  <c r="P53" i="1"/>
  <c r="AL53" i="1" s="1"/>
  <c r="V52" i="1"/>
  <c r="S52" i="1"/>
  <c r="R52" i="1"/>
  <c r="Q52" i="1"/>
  <c r="P52" i="1"/>
  <c r="AL52" i="1" s="1"/>
  <c r="V51" i="1"/>
  <c r="S51" i="1"/>
  <c r="O51" i="1"/>
  <c r="M51" i="1" s="1"/>
  <c r="V50" i="1"/>
  <c r="S50" i="1"/>
  <c r="R50" i="1"/>
  <c r="Q50" i="1"/>
  <c r="P50" i="1"/>
  <c r="H50" i="1"/>
  <c r="AE49" i="1"/>
  <c r="W49" i="1"/>
  <c r="V49" i="1"/>
  <c r="S49" i="1"/>
  <c r="R49" i="1"/>
  <c r="Q49" i="1"/>
  <c r="P49" i="1"/>
  <c r="V48" i="1"/>
  <c r="S48" i="1"/>
  <c r="AB47" i="1"/>
  <c r="W47" i="1"/>
  <c r="V47" i="1"/>
  <c r="S47" i="1"/>
  <c r="R47" i="1"/>
  <c r="Q47" i="1"/>
  <c r="P47" i="1"/>
  <c r="V46" i="1"/>
  <c r="S46" i="1"/>
  <c r="V45" i="1"/>
  <c r="S45" i="1"/>
  <c r="M45" i="1"/>
  <c r="A45" i="1"/>
  <c r="FT44" i="1"/>
  <c r="Y44" i="1"/>
  <c r="X44" i="1"/>
  <c r="U44" i="1"/>
  <c r="T44" i="1"/>
  <c r="N44" i="1"/>
  <c r="L44" i="1"/>
  <c r="K44" i="1"/>
  <c r="J44" i="1"/>
  <c r="I44" i="1"/>
  <c r="V43" i="1"/>
  <c r="S43" i="1"/>
  <c r="M43" i="1"/>
  <c r="V42" i="1"/>
  <c r="S42" i="1"/>
  <c r="M42" i="1"/>
  <c r="V41" i="1"/>
  <c r="S41" i="1"/>
  <c r="M41" i="1"/>
  <c r="V40" i="1"/>
  <c r="S40" i="1"/>
  <c r="M40" i="1"/>
  <c r="V39" i="1"/>
  <c r="S39" i="1"/>
  <c r="M39" i="1"/>
  <c r="V38" i="1"/>
  <c r="S38" i="1"/>
  <c r="M38" i="1"/>
  <c r="V37" i="1"/>
  <c r="S37" i="1"/>
  <c r="M37" i="1"/>
  <c r="V36" i="1"/>
  <c r="S36" i="1"/>
  <c r="M36" i="1"/>
  <c r="V35" i="1"/>
  <c r="S35" i="1"/>
  <c r="M35" i="1"/>
  <c r="V34" i="1"/>
  <c r="S34" i="1"/>
  <c r="M34" i="1"/>
  <c r="V33" i="1"/>
  <c r="S33" i="1"/>
  <c r="M33" i="1"/>
  <c r="V32" i="1"/>
  <c r="S32" i="1"/>
  <c r="M32" i="1"/>
  <c r="V31" i="1"/>
  <c r="S31" i="1"/>
  <c r="M31" i="1"/>
  <c r="V30" i="1"/>
  <c r="S30" i="1"/>
  <c r="M30" i="1"/>
  <c r="V29" i="1"/>
  <c r="S29" i="1"/>
  <c r="M29" i="1"/>
  <c r="V28" i="1"/>
  <c r="S28" i="1"/>
  <c r="M28" i="1"/>
  <c r="S27" i="1"/>
  <c r="V27" i="1" s="1"/>
  <c r="S26" i="1"/>
  <c r="V26" i="1" s="1"/>
  <c r="X25" i="1"/>
  <c r="S25" i="1"/>
  <c r="V25" i="1" s="1"/>
  <c r="X24" i="1"/>
  <c r="S24" i="1"/>
  <c r="V24" i="1" s="1"/>
  <c r="U23" i="1"/>
  <c r="S23" i="1" s="1"/>
  <c r="V23" i="1" s="1"/>
  <c r="S22" i="1"/>
  <c r="V22" i="1" s="1"/>
  <c r="S21" i="1"/>
  <c r="V21" i="1" s="1"/>
  <c r="S20" i="1"/>
  <c r="V20" i="1" s="1"/>
  <c r="T19" i="1"/>
  <c r="S19" i="1" s="1"/>
  <c r="V19" i="1" s="1"/>
  <c r="T18" i="1"/>
  <c r="S18" i="1" s="1"/>
  <c r="V18" i="1" s="1"/>
  <c r="T17" i="1"/>
  <c r="S17" i="1" s="1"/>
  <c r="V17" i="1" s="1"/>
  <c r="R17" i="1"/>
  <c r="P17" i="1"/>
  <c r="T16" i="1"/>
  <c r="S16" i="1" s="1"/>
  <c r="V16" i="1" s="1"/>
  <c r="P16" i="1"/>
  <c r="T15" i="1"/>
  <c r="S15" i="1" s="1"/>
  <c r="R15" i="1"/>
  <c r="Q15" i="1"/>
  <c r="Q13" i="1" s="1"/>
  <c r="P15" i="1"/>
  <c r="S14" i="1"/>
  <c r="V14" i="1" s="1"/>
  <c r="R14" i="1"/>
  <c r="FT13" i="1"/>
  <c r="AU13" i="1"/>
  <c r="Y13" i="1"/>
  <c r="W13" i="1"/>
  <c r="N13" i="1"/>
  <c r="L13" i="1"/>
  <c r="K13" i="1"/>
  <c r="J13" i="1"/>
  <c r="I13" i="1"/>
  <c r="H13" i="1"/>
  <c r="AU12" i="1"/>
  <c r="FS8" i="1"/>
  <c r="EB8" i="1"/>
  <c r="AD8" i="1"/>
  <c r="AE8" i="1" s="1"/>
  <c r="AC8" i="1"/>
  <c r="FS7" i="1"/>
  <c r="AM7" i="1"/>
  <c r="FS6" i="1"/>
  <c r="AD6" i="1"/>
  <c r="AS1" i="1"/>
  <c r="I27" i="2"/>
  <c r="C26" i="2"/>
  <c r="F23" i="2"/>
  <c r="F22" i="2" s="1"/>
  <c r="F21" i="2" s="1"/>
  <c r="C23" i="2"/>
  <c r="E21" i="2"/>
  <c r="D21" i="2"/>
  <c r="M15" i="2"/>
  <c r="L19" i="2"/>
  <c r="L10" i="2" s="1"/>
  <c r="C18" i="2"/>
  <c r="C10" i="2" s="1"/>
  <c r="I11" i="2"/>
  <c r="K8" i="2"/>
  <c r="R7" i="2"/>
  <c r="J6" i="2"/>
  <c r="I6" i="2"/>
  <c r="S70" i="15"/>
  <c r="R70" i="15"/>
  <c r="Q70" i="15"/>
  <c r="J70" i="15"/>
  <c r="AB69" i="15"/>
  <c r="Z69" i="15"/>
  <c r="Y69" i="15"/>
  <c r="U69" i="15"/>
  <c r="R69" i="15" s="1"/>
  <c r="T69" i="15"/>
  <c r="J69" i="15"/>
  <c r="AB68" i="15"/>
  <c r="Z68" i="15"/>
  <c r="Y68" i="15"/>
  <c r="U68" i="15"/>
  <c r="R68" i="15" s="1"/>
  <c r="T68" i="15"/>
  <c r="Q68" i="15" s="1"/>
  <c r="J68" i="15"/>
  <c r="AB67" i="15"/>
  <c r="Z67" i="15"/>
  <c r="Y67" i="15"/>
  <c r="U67" i="15"/>
  <c r="R67" i="15" s="1"/>
  <c r="T67" i="15"/>
  <c r="J67" i="15"/>
  <c r="AB66" i="15"/>
  <c r="Z66" i="15"/>
  <c r="Y66" i="15"/>
  <c r="U66" i="15"/>
  <c r="T66" i="15"/>
  <c r="Q66" i="15" s="1"/>
  <c r="J66" i="15"/>
  <c r="AB65" i="15"/>
  <c r="Z65" i="15"/>
  <c r="Y65" i="15"/>
  <c r="S65" i="15"/>
  <c r="R65" i="15"/>
  <c r="Q65" i="15"/>
  <c r="J65" i="15"/>
  <c r="AB64" i="15"/>
  <c r="Z64" i="15"/>
  <c r="Y64" i="15"/>
  <c r="J64" i="15"/>
  <c r="AB63" i="15"/>
  <c r="Z63" i="15"/>
  <c r="Y63" i="15"/>
  <c r="U63" i="15"/>
  <c r="T63" i="15"/>
  <c r="Q63" i="15" s="1"/>
  <c r="AB62" i="15"/>
  <c r="Z62" i="15"/>
  <c r="Y62" i="15"/>
  <c r="U62" i="15"/>
  <c r="R62" i="15" s="1"/>
  <c r="T62" i="15"/>
  <c r="Q62" i="15" s="1"/>
  <c r="AB61" i="15"/>
  <c r="Z61" i="15"/>
  <c r="Y61" i="15"/>
  <c r="U61" i="15"/>
  <c r="R61" i="15" s="1"/>
  <c r="T61" i="15"/>
  <c r="AB60" i="15"/>
  <c r="Z60" i="15"/>
  <c r="Y60" i="15"/>
  <c r="S60" i="15"/>
  <c r="R60" i="15"/>
  <c r="Q60" i="15"/>
  <c r="J60" i="15"/>
  <c r="I60" i="15"/>
  <c r="I59" i="15" s="1"/>
  <c r="H60" i="15"/>
  <c r="H59" i="15" s="1"/>
  <c r="G60" i="15"/>
  <c r="G59" i="15" s="1"/>
  <c r="F60" i="15"/>
  <c r="AB59" i="15"/>
  <c r="Z59" i="15"/>
  <c r="Y59" i="15"/>
  <c r="S59" i="15"/>
  <c r="R59" i="15"/>
  <c r="Q59" i="15"/>
  <c r="K59" i="15"/>
  <c r="J59" i="15"/>
  <c r="AB58" i="15"/>
  <c r="Z58" i="15"/>
  <c r="Y58" i="15"/>
  <c r="S58" i="15"/>
  <c r="R58" i="15"/>
  <c r="K58" i="15"/>
  <c r="N58" i="15" s="1"/>
  <c r="I58" i="15"/>
  <c r="H58" i="15"/>
  <c r="G58" i="15"/>
  <c r="F58" i="15"/>
  <c r="AB57" i="15"/>
  <c r="Z57" i="15"/>
  <c r="Y57" i="15"/>
  <c r="S57" i="15"/>
  <c r="O57" i="15"/>
  <c r="R57" i="15" s="1"/>
  <c r="M57" i="15"/>
  <c r="M55" i="15" s="1"/>
  <c r="M50" i="15" s="1"/>
  <c r="L57" i="15"/>
  <c r="L55" i="15" s="1"/>
  <c r="L50" i="15" s="1"/>
  <c r="AB56" i="15"/>
  <c r="Z56" i="15"/>
  <c r="Y56" i="15"/>
  <c r="S56" i="15"/>
  <c r="R56" i="15"/>
  <c r="K56" i="15"/>
  <c r="N56" i="15" s="1"/>
  <c r="AB55" i="15"/>
  <c r="Z55" i="15"/>
  <c r="Y55" i="15"/>
  <c r="I55" i="15"/>
  <c r="H55" i="15"/>
  <c r="G55" i="15"/>
  <c r="F55" i="15"/>
  <c r="AB54" i="15"/>
  <c r="Z54" i="15"/>
  <c r="Y54" i="15"/>
  <c r="S54" i="15"/>
  <c r="R54" i="15"/>
  <c r="Q54" i="15"/>
  <c r="J54" i="15"/>
  <c r="AB53" i="15"/>
  <c r="Z53" i="15"/>
  <c r="Y53" i="15"/>
  <c r="S53" i="15"/>
  <c r="Q53" i="15"/>
  <c r="O53" i="15"/>
  <c r="J53" i="15" s="1"/>
  <c r="AB52" i="15"/>
  <c r="Z52" i="15"/>
  <c r="Y52" i="15"/>
  <c r="S52" i="15"/>
  <c r="Q52" i="15"/>
  <c r="O52" i="15"/>
  <c r="R52" i="15" s="1"/>
  <c r="AB51" i="15"/>
  <c r="Z51" i="15"/>
  <c r="Y51" i="15"/>
  <c r="U51" i="15"/>
  <c r="T51" i="15"/>
  <c r="O51" i="15"/>
  <c r="N51" i="15"/>
  <c r="I51" i="15"/>
  <c r="H51" i="15"/>
  <c r="G51" i="15"/>
  <c r="F51" i="15"/>
  <c r="AB50" i="15"/>
  <c r="Z50" i="15"/>
  <c r="Y50" i="15"/>
  <c r="AB49" i="15"/>
  <c r="Z49" i="15"/>
  <c r="Y49" i="15"/>
  <c r="S49" i="15"/>
  <c r="R49" i="15"/>
  <c r="Q49" i="15"/>
  <c r="J49" i="15"/>
  <c r="I49" i="15"/>
  <c r="H49" i="15"/>
  <c r="G49" i="15"/>
  <c r="F49" i="15"/>
  <c r="AB48" i="15"/>
  <c r="Z48" i="15"/>
  <c r="Y48" i="15"/>
  <c r="S48" i="15"/>
  <c r="R48" i="15"/>
  <c r="Q48" i="15"/>
  <c r="J48" i="15"/>
  <c r="I48" i="15"/>
  <c r="H48" i="15"/>
  <c r="G48" i="15"/>
  <c r="F48" i="15"/>
  <c r="AB47" i="15"/>
  <c r="Z47" i="15"/>
  <c r="Y47" i="15"/>
  <c r="S47" i="15"/>
  <c r="R47" i="15"/>
  <c r="K47" i="15"/>
  <c r="N47" i="15" s="1"/>
  <c r="AG46" i="15"/>
  <c r="AB46" i="15"/>
  <c r="Z46" i="15"/>
  <c r="Y46" i="15"/>
  <c r="S46" i="15"/>
  <c r="R46" i="15"/>
  <c r="K46" i="15"/>
  <c r="I46" i="15"/>
  <c r="H46" i="15"/>
  <c r="G46" i="15"/>
  <c r="F46" i="15"/>
  <c r="AB45" i="15"/>
  <c r="Z45" i="15"/>
  <c r="Y45" i="15"/>
  <c r="U45" i="15"/>
  <c r="U43" i="15" s="1"/>
  <c r="T45" i="15"/>
  <c r="T43" i="15" s="1"/>
  <c r="O45" i="15"/>
  <c r="O43" i="15" s="1"/>
  <c r="M45" i="15"/>
  <c r="M43" i="15" s="1"/>
  <c r="L45" i="15"/>
  <c r="L43" i="15" s="1"/>
  <c r="F45" i="15"/>
  <c r="AB44" i="15"/>
  <c r="Z44" i="15"/>
  <c r="Y44" i="15"/>
  <c r="S44" i="15"/>
  <c r="R44" i="15"/>
  <c r="K44" i="15"/>
  <c r="I44" i="15"/>
  <c r="H44" i="15"/>
  <c r="G44" i="15"/>
  <c r="F44" i="15"/>
  <c r="AB43" i="15"/>
  <c r="Z43" i="15"/>
  <c r="Y43" i="15"/>
  <c r="AB42" i="15"/>
  <c r="Z42" i="15"/>
  <c r="Y42" i="15"/>
  <c r="U42" i="15"/>
  <c r="R42" i="15" s="1"/>
  <c r="T42" i="15"/>
  <c r="AB41" i="15"/>
  <c r="Z41" i="15"/>
  <c r="Y41" i="15"/>
  <c r="U41" i="15"/>
  <c r="R41" i="15" s="1"/>
  <c r="T41" i="15"/>
  <c r="AB40" i="15"/>
  <c r="Z40" i="15"/>
  <c r="Y40" i="15"/>
  <c r="S40" i="15"/>
  <c r="R40" i="15"/>
  <c r="N40" i="15"/>
  <c r="Q40" i="15" s="1"/>
  <c r="AB39" i="15"/>
  <c r="Z39" i="15"/>
  <c r="Y39" i="15"/>
  <c r="S39" i="15"/>
  <c r="R39" i="15"/>
  <c r="Q39" i="15"/>
  <c r="J39" i="15"/>
  <c r="I39" i="15"/>
  <c r="AB38" i="15"/>
  <c r="Z38" i="15"/>
  <c r="Y38" i="15"/>
  <c r="S38" i="15"/>
  <c r="R38" i="15"/>
  <c r="N38" i="15"/>
  <c r="Q38" i="15" s="1"/>
  <c r="I38" i="15"/>
  <c r="H38" i="15"/>
  <c r="G38" i="15"/>
  <c r="F38" i="15"/>
  <c r="AB37" i="15"/>
  <c r="Z37" i="15"/>
  <c r="Y37" i="15"/>
  <c r="S37" i="15"/>
  <c r="R37" i="15"/>
  <c r="Q37" i="15"/>
  <c r="J37" i="15"/>
  <c r="I37" i="15"/>
  <c r="H37" i="15"/>
  <c r="H39" i="15" s="1"/>
  <c r="G37" i="15"/>
  <c r="G39" i="15" s="1"/>
  <c r="F37" i="15"/>
  <c r="F39" i="15" s="1"/>
  <c r="AB36" i="15"/>
  <c r="Z36" i="15"/>
  <c r="Y36" i="15"/>
  <c r="S36" i="15"/>
  <c r="R36" i="15"/>
  <c r="N36" i="15"/>
  <c r="N35" i="15" s="1"/>
  <c r="I36" i="15"/>
  <c r="H36" i="15"/>
  <c r="G36" i="15"/>
  <c r="F36" i="15"/>
  <c r="AB35" i="15"/>
  <c r="Z35" i="15"/>
  <c r="Y35" i="15"/>
  <c r="U35" i="15"/>
  <c r="T35" i="15"/>
  <c r="O35" i="15"/>
  <c r="M35" i="15"/>
  <c r="L35" i="15"/>
  <c r="K35" i="15"/>
  <c r="AB34" i="15"/>
  <c r="Z34" i="15"/>
  <c r="Y34" i="15"/>
  <c r="S34" i="15"/>
  <c r="R34" i="15"/>
  <c r="Q34" i="15"/>
  <c r="J34" i="15"/>
  <c r="AB33" i="15"/>
  <c r="Z33" i="15"/>
  <c r="Y33" i="15"/>
  <c r="S33" i="15"/>
  <c r="R33" i="15"/>
  <c r="N33" i="15"/>
  <c r="N31" i="15" s="1"/>
  <c r="I33" i="15"/>
  <c r="H33" i="15"/>
  <c r="G33" i="15"/>
  <c r="F33" i="15"/>
  <c r="AB32" i="15"/>
  <c r="Z32" i="15"/>
  <c r="Y32" i="15"/>
  <c r="S32" i="15"/>
  <c r="R32" i="15"/>
  <c r="Q32" i="15"/>
  <c r="J32" i="15"/>
  <c r="I32" i="15"/>
  <c r="H32" i="15"/>
  <c r="G32" i="15"/>
  <c r="F32" i="15"/>
  <c r="AB31" i="15"/>
  <c r="Z31" i="15"/>
  <c r="Y31" i="15"/>
  <c r="S31" i="15"/>
  <c r="O31" i="15"/>
  <c r="R31" i="15" s="1"/>
  <c r="M31" i="15"/>
  <c r="L31" i="15"/>
  <c r="K31" i="15"/>
  <c r="AB30" i="15"/>
  <c r="Z30" i="15"/>
  <c r="Y30" i="15"/>
  <c r="S30" i="15"/>
  <c r="R30" i="15"/>
  <c r="N30" i="15"/>
  <c r="Q30" i="15" s="1"/>
  <c r="E30" i="15"/>
  <c r="D30" i="15"/>
  <c r="AB29" i="15"/>
  <c r="Z29" i="15"/>
  <c r="Y29" i="15"/>
  <c r="S29" i="15"/>
  <c r="R29" i="15"/>
  <c r="N29" i="15"/>
  <c r="Q29" i="15" s="1"/>
  <c r="H29" i="15"/>
  <c r="G29" i="15"/>
  <c r="AB28" i="15"/>
  <c r="Z28" i="15"/>
  <c r="Y28" i="15"/>
  <c r="S28" i="15"/>
  <c r="R28" i="15"/>
  <c r="N28" i="15"/>
  <c r="Q28" i="15" s="1"/>
  <c r="E28" i="15"/>
  <c r="D28" i="15"/>
  <c r="AB27" i="15"/>
  <c r="Z27" i="15"/>
  <c r="Y27" i="15"/>
  <c r="U27" i="15"/>
  <c r="T27" i="15"/>
  <c r="O27" i="15"/>
  <c r="M27" i="15"/>
  <c r="L27" i="15"/>
  <c r="K27" i="15"/>
  <c r="I27" i="15"/>
  <c r="H27" i="15"/>
  <c r="G27" i="15"/>
  <c r="F27" i="15"/>
  <c r="AB26" i="15"/>
  <c r="Z26" i="15"/>
  <c r="Y26" i="15"/>
  <c r="S26" i="15"/>
  <c r="R26" i="15"/>
  <c r="N26" i="15"/>
  <c r="I26" i="15"/>
  <c r="H26" i="15"/>
  <c r="G26" i="15"/>
  <c r="F26" i="15"/>
  <c r="AB25" i="15"/>
  <c r="Z25" i="15"/>
  <c r="Y25" i="15"/>
  <c r="S25" i="15"/>
  <c r="R25" i="15"/>
  <c r="N25" i="15"/>
  <c r="Q25" i="15" s="1"/>
  <c r="I25" i="15"/>
  <c r="H25" i="15"/>
  <c r="G25" i="15"/>
  <c r="F25" i="15"/>
  <c r="AB24" i="15"/>
  <c r="Z24" i="15"/>
  <c r="Y24" i="15"/>
  <c r="AB23" i="15"/>
  <c r="Z23" i="15"/>
  <c r="Y23" i="15"/>
  <c r="U23" i="15"/>
  <c r="R23" i="15" s="1"/>
  <c r="T23" i="15"/>
  <c r="M23" i="15"/>
  <c r="L23" i="15"/>
  <c r="K23" i="15"/>
  <c r="J23" i="15"/>
  <c r="I23" i="15"/>
  <c r="H23" i="15"/>
  <c r="G23" i="15"/>
  <c r="F23" i="15"/>
  <c r="AB22" i="15"/>
  <c r="Z22" i="15"/>
  <c r="Y22" i="15"/>
  <c r="I22" i="15"/>
  <c r="H22" i="15"/>
  <c r="G22" i="15"/>
  <c r="F22" i="15"/>
  <c r="AA21" i="15"/>
  <c r="X21" i="15"/>
  <c r="W21" i="15"/>
  <c r="V21" i="15"/>
  <c r="AB20" i="15"/>
  <c r="Z20" i="15"/>
  <c r="Y20" i="15"/>
  <c r="AB19" i="15"/>
  <c r="Z19" i="15"/>
  <c r="Y19" i="15"/>
  <c r="AA18" i="15"/>
  <c r="X18" i="15"/>
  <c r="W18" i="15"/>
  <c r="V18" i="15"/>
  <c r="AB17" i="15"/>
  <c r="Z17" i="15"/>
  <c r="Y17" i="15"/>
  <c r="AB16" i="15"/>
  <c r="Z16" i="15"/>
  <c r="Y16" i="15"/>
  <c r="AB15" i="15"/>
  <c r="Z15" i="15"/>
  <c r="Y15" i="15"/>
  <c r="AB14" i="15"/>
  <c r="Z14" i="15"/>
  <c r="Y14" i="15"/>
  <c r="S14" i="15"/>
  <c r="S12" i="15" s="1"/>
  <c r="S11" i="15" s="1"/>
  <c r="AA12" i="15"/>
  <c r="X12" i="15"/>
  <c r="W12" i="15"/>
  <c r="V12" i="15"/>
  <c r="AG6" i="15"/>
  <c r="AF3" i="15"/>
  <c r="AF2" i="15"/>
  <c r="AG5" i="15" s="1"/>
  <c r="AF14" i="8" l="1"/>
  <c r="O14" i="8"/>
  <c r="R15" i="8"/>
  <c r="P60" i="15"/>
  <c r="AA14" i="8"/>
  <c r="AC14" i="8"/>
  <c r="M45" i="14"/>
  <c r="M40" i="14" s="1"/>
  <c r="AD14" i="8"/>
  <c r="D29" i="15"/>
  <c r="AD6" i="13"/>
  <c r="AD7" i="13" s="1"/>
  <c r="AK16" i="14"/>
  <c r="AK15" i="14" s="1"/>
  <c r="AK14" i="14" s="1"/>
  <c r="K51" i="5"/>
  <c r="H44" i="1"/>
  <c r="Z16" i="14"/>
  <c r="Z15" i="14" s="1"/>
  <c r="Z14" i="14" s="1"/>
  <c r="R14" i="8"/>
  <c r="AA11" i="15"/>
  <c r="AA10" i="15" s="1"/>
  <c r="Y30" i="13"/>
  <c r="AA12" i="6"/>
  <c r="T24" i="2" s="1"/>
  <c r="L16" i="14"/>
  <c r="I12" i="1"/>
  <c r="Y12" i="1"/>
  <c r="J12" i="1"/>
  <c r="J11" i="1" s="1"/>
  <c r="J10" i="1" s="1"/>
  <c r="K12" i="1"/>
  <c r="K11" i="1" s="1"/>
  <c r="K10" i="1" s="1"/>
  <c r="L12" i="1"/>
  <c r="N12" i="1"/>
  <c r="N11" i="1" s="1"/>
  <c r="N10" i="1" s="1"/>
  <c r="AB44" i="1"/>
  <c r="S61" i="15"/>
  <c r="P61" i="15" s="1"/>
  <c r="P22" i="6"/>
  <c r="E14" i="8"/>
  <c r="S14" i="8"/>
  <c r="R333" i="5"/>
  <c r="R50" i="5" s="1"/>
  <c r="W393" i="5"/>
  <c r="AE16" i="14"/>
  <c r="AE15" i="14" s="1"/>
  <c r="AE14" i="14" s="1"/>
  <c r="F14" i="8"/>
  <c r="T14" i="8"/>
  <c r="M424" i="5"/>
  <c r="G14" i="8"/>
  <c r="U14" i="8"/>
  <c r="AH14" i="8"/>
  <c r="W394" i="5"/>
  <c r="Y32" i="13"/>
  <c r="I14" i="8"/>
  <c r="V14" i="8"/>
  <c r="AI14" i="8"/>
  <c r="C15" i="8"/>
  <c r="W11" i="15"/>
  <c r="W10" i="15" s="1"/>
  <c r="P59" i="15"/>
  <c r="Y26" i="13"/>
  <c r="Y45" i="14"/>
  <c r="Y40" i="14" s="1"/>
  <c r="J14" i="8"/>
  <c r="W14" i="8"/>
  <c r="AJ14" i="8"/>
  <c r="H15" i="8"/>
  <c r="H14" i="8" s="1"/>
  <c r="K14" i="8"/>
  <c r="X14" i="8"/>
  <c r="AK14" i="8"/>
  <c r="M15" i="8"/>
  <c r="M14" i="8" s="1"/>
  <c r="L14" i="8"/>
  <c r="Y14" i="8"/>
  <c r="AM14" i="8"/>
  <c r="J36" i="15"/>
  <c r="W396" i="5"/>
  <c r="Z14" i="8"/>
  <c r="AN14" i="8"/>
  <c r="G31" i="15"/>
  <c r="K16" i="14"/>
  <c r="P13" i="6"/>
  <c r="P17" i="13"/>
  <c r="P16" i="13" s="1"/>
  <c r="P11" i="13" s="1"/>
  <c r="U17" i="13"/>
  <c r="U16" i="13" s="1"/>
  <c r="U11" i="13" s="1"/>
  <c r="Q18" i="13"/>
  <c r="AA16" i="14"/>
  <c r="AA15" i="14" s="1"/>
  <c r="AA14" i="14" s="1"/>
  <c r="N45" i="14"/>
  <c r="N40" i="14" s="1"/>
  <c r="N16" i="14" s="1"/>
  <c r="N15" i="14" s="1"/>
  <c r="N14" i="14" s="1"/>
  <c r="AN16" i="14"/>
  <c r="AN15" i="14" s="1"/>
  <c r="AN14" i="14" s="1"/>
  <c r="AL16" i="14"/>
  <c r="AL15" i="14" s="1"/>
  <c r="AL14" i="14" s="1"/>
  <c r="J51" i="15"/>
  <c r="M154" i="5"/>
  <c r="O50" i="5"/>
  <c r="AB12" i="15"/>
  <c r="Z18" i="15"/>
  <c r="L24" i="15"/>
  <c r="L22" i="15" s="1"/>
  <c r="L21" i="15" s="1"/>
  <c r="J38" i="15"/>
  <c r="P48" i="15"/>
  <c r="J52" i="15"/>
  <c r="P52" i="15" s="1"/>
  <c r="P54" i="15"/>
  <c r="F50" i="15"/>
  <c r="L13" i="5"/>
  <c r="L12" i="5" s="1"/>
  <c r="Q13" i="5"/>
  <c r="Q328" i="5"/>
  <c r="S357" i="5"/>
  <c r="AA357" i="5" s="1"/>
  <c r="W392" i="5"/>
  <c r="S424" i="5"/>
  <c r="K451" i="5"/>
  <c r="K450" i="5" s="1"/>
  <c r="V17" i="13"/>
  <c r="V16" i="13" s="1"/>
  <c r="V11" i="13" s="1"/>
  <c r="T25" i="2" s="1"/>
  <c r="Q23" i="13"/>
  <c r="AG16" i="14"/>
  <c r="AG15" i="14" s="1"/>
  <c r="AG14" i="14" s="1"/>
  <c r="AB16" i="14"/>
  <c r="AB15" i="14" s="1"/>
  <c r="AB14" i="14" s="1"/>
  <c r="O16" i="14"/>
  <c r="O15" i="14" s="1"/>
  <c r="O14" i="14" s="1"/>
  <c r="AF16" i="14"/>
  <c r="AF15" i="14" s="1"/>
  <c r="AF14" i="14" s="1"/>
  <c r="U13" i="1"/>
  <c r="J16" i="14"/>
  <c r="J15" i="14" s="1"/>
  <c r="J14" i="14" s="1"/>
  <c r="X16" i="14"/>
  <c r="X15" i="14" s="1"/>
  <c r="X14" i="14" s="1"/>
  <c r="Y16" i="14"/>
  <c r="Y15" i="14" s="1"/>
  <c r="Y14" i="14" s="1"/>
  <c r="P12" i="6"/>
  <c r="S333" i="5"/>
  <c r="X11" i="15"/>
  <c r="Z11" i="15" s="1"/>
  <c r="E27" i="15"/>
  <c r="K24" i="15"/>
  <c r="K22" i="15" s="1"/>
  <c r="AG2" i="15" s="1"/>
  <c r="T24" i="15"/>
  <c r="T22" i="15" s="1"/>
  <c r="H31" i="15"/>
  <c r="K45" i="15"/>
  <c r="I47" i="15"/>
  <c r="I45" i="15" s="1"/>
  <c r="I43" i="15" s="1"/>
  <c r="G50" i="15"/>
  <c r="P70" i="15"/>
  <c r="P103" i="1"/>
  <c r="P107" i="1"/>
  <c r="R12" i="5"/>
  <c r="P12" i="5"/>
  <c r="AA37" i="5"/>
  <c r="M51" i="5"/>
  <c r="K214" i="5"/>
  <c r="AA214" i="5" s="1"/>
  <c r="S214" i="5"/>
  <c r="M369" i="5"/>
  <c r="Q377" i="5"/>
  <c r="Q369" i="5" s="1"/>
  <c r="S22" i="6"/>
  <c r="O17" i="13"/>
  <c r="O16" i="13" s="1"/>
  <c r="K17" i="13"/>
  <c r="K16" i="13" s="1"/>
  <c r="K11" i="13" s="1"/>
  <c r="T17" i="13"/>
  <c r="T16" i="13" s="1"/>
  <c r="T11" i="13" s="1"/>
  <c r="Y28" i="13"/>
  <c r="I16" i="14"/>
  <c r="I15" i="14" s="1"/>
  <c r="I14" i="14" s="1"/>
  <c r="T16" i="14"/>
  <c r="T15" i="14" s="1"/>
  <c r="T14" i="14" s="1"/>
  <c r="AS14" i="8"/>
  <c r="K12" i="5"/>
  <c r="D39" i="15"/>
  <c r="E38" i="15"/>
  <c r="S41" i="15"/>
  <c r="P41" i="15" s="1"/>
  <c r="D55" i="15"/>
  <c r="R107" i="1"/>
  <c r="N12" i="5"/>
  <c r="U12" i="5"/>
  <c r="U11" i="5" s="1"/>
  <c r="T12" i="5"/>
  <c r="T50" i="5"/>
  <c r="S51" i="5"/>
  <c r="Q214" i="5"/>
  <c r="M333" i="5"/>
  <c r="L378" i="5"/>
  <c r="J12" i="6"/>
  <c r="L12" i="6"/>
  <c r="M17" i="13"/>
  <c r="M16" i="13" s="1"/>
  <c r="M11" i="13" s="1"/>
  <c r="AM16" i="14"/>
  <c r="AM15" i="14" s="1"/>
  <c r="AM14" i="14" s="1"/>
  <c r="V16" i="14"/>
  <c r="V15" i="14" s="1"/>
  <c r="V14" i="14" s="1"/>
  <c r="AD16" i="14"/>
  <c r="AD15" i="14" s="1"/>
  <c r="AD14" i="14" s="1"/>
  <c r="W16" i="14"/>
  <c r="W15" i="14" s="1"/>
  <c r="W14" i="14" s="1"/>
  <c r="AJ45" i="14"/>
  <c r="AJ40" i="14" s="1"/>
  <c r="AJ16" i="14" s="1"/>
  <c r="AJ15" i="14" s="1"/>
  <c r="AJ14" i="14" s="1"/>
  <c r="C18" i="8"/>
  <c r="AB18" i="8"/>
  <c r="AB14" i="8" s="1"/>
  <c r="U50" i="5"/>
  <c r="V11" i="15"/>
  <c r="Z21" i="15"/>
  <c r="D25" i="15"/>
  <c r="E51" i="15"/>
  <c r="R51" i="15"/>
  <c r="H50" i="15"/>
  <c r="C21" i="2"/>
  <c r="C9" i="2" s="1"/>
  <c r="O12" i="5"/>
  <c r="O11" i="5" s="1"/>
  <c r="P50" i="5"/>
  <c r="N154" i="5"/>
  <c r="N50" i="5" s="1"/>
  <c r="M407" i="5"/>
  <c r="N17" i="13"/>
  <c r="N16" i="13" s="1"/>
  <c r="N11" i="13" s="1"/>
  <c r="W17" i="13"/>
  <c r="W16" i="13" s="1"/>
  <c r="W11" i="13" s="1"/>
  <c r="S17" i="13"/>
  <c r="S16" i="13" s="1"/>
  <c r="S11" i="13" s="1"/>
  <c r="R17" i="13"/>
  <c r="R16" i="13" s="1"/>
  <c r="AA16" i="13" s="1"/>
  <c r="S16" i="14"/>
  <c r="S15" i="14" s="1"/>
  <c r="S14" i="14" s="1"/>
  <c r="AI16" i="14"/>
  <c r="AI15" i="14" s="1"/>
  <c r="AI14" i="14" s="1"/>
  <c r="K18" i="2"/>
  <c r="Q107" i="1"/>
  <c r="D26" i="15"/>
  <c r="S42" i="15"/>
  <c r="P42" i="15" s="1"/>
  <c r="S51" i="15"/>
  <c r="E58" i="15"/>
  <c r="G47" i="15"/>
  <c r="S69" i="15"/>
  <c r="P69" i="15" s="1"/>
  <c r="U55" i="15"/>
  <c r="E46" i="15"/>
  <c r="M5" i="2"/>
  <c r="E10" i="2"/>
  <c r="M214" i="5"/>
  <c r="Q12" i="5"/>
  <c r="S17" i="5"/>
  <c r="S13" i="5" s="1"/>
  <c r="S12" i="5" s="1"/>
  <c r="M13" i="5"/>
  <c r="M12" i="5" s="1"/>
  <c r="E22" i="15"/>
  <c r="S23" i="15"/>
  <c r="P23" i="15" s="1"/>
  <c r="D27" i="15"/>
  <c r="E32" i="15"/>
  <c r="P34" i="15"/>
  <c r="P37" i="15"/>
  <c r="E55" i="15"/>
  <c r="K57" i="15"/>
  <c r="K55" i="15" s="1"/>
  <c r="D58" i="15"/>
  <c r="S66" i="15"/>
  <c r="P66" i="15" s="1"/>
  <c r="S67" i="15"/>
  <c r="P67" i="15" s="1"/>
  <c r="L214" i="5"/>
  <c r="L50" i="5" s="1"/>
  <c r="L11" i="5" s="1"/>
  <c r="M235" i="5"/>
  <c r="S303" i="5"/>
  <c r="S27" i="15"/>
  <c r="E48" i="15"/>
  <c r="U64" i="15"/>
  <c r="U50" i="15" s="1"/>
  <c r="K333" i="5"/>
  <c r="Z12" i="15"/>
  <c r="E25" i="15"/>
  <c r="D33" i="15"/>
  <c r="Q36" i="15"/>
  <c r="Q42" i="15"/>
  <c r="E49" i="15"/>
  <c r="I50" i="15"/>
  <c r="AG6" i="13"/>
  <c r="AE7" i="13"/>
  <c r="AE18" i="13" s="1"/>
  <c r="AD19" i="13" s="1"/>
  <c r="AG17" i="13" s="1"/>
  <c r="O11" i="13"/>
  <c r="R43" i="15"/>
  <c r="P38" i="15"/>
  <c r="P39" i="15"/>
  <c r="P53" i="15"/>
  <c r="E60" i="15"/>
  <c r="D36" i="15"/>
  <c r="D38" i="15"/>
  <c r="D51" i="15"/>
  <c r="T55" i="15"/>
  <c r="M378" i="5"/>
  <c r="AA369" i="5"/>
  <c r="AB21" i="15"/>
  <c r="E23" i="15"/>
  <c r="E29" i="15"/>
  <c r="R45" i="15"/>
  <c r="P49" i="15"/>
  <c r="S62" i="15"/>
  <c r="P62" i="15" s="1"/>
  <c r="S63" i="15"/>
  <c r="P63" i="15" s="1"/>
  <c r="P65" i="15"/>
  <c r="R66" i="15"/>
  <c r="Q67" i="15"/>
  <c r="S68" i="15"/>
  <c r="P68" i="15" s="1"/>
  <c r="X13" i="1"/>
  <c r="AB13" i="1" s="1"/>
  <c r="A16" i="5"/>
  <c r="A24" i="6"/>
  <c r="A25" i="6" s="1"/>
  <c r="M16" i="14"/>
  <c r="M15" i="14" s="1"/>
  <c r="M14" i="14" s="1"/>
  <c r="S14" i="6"/>
  <c r="S13" i="6" s="1"/>
  <c r="AQ18" i="8"/>
  <c r="AQ14" i="8" s="1"/>
  <c r="AC8" i="13"/>
  <c r="L18" i="13"/>
  <c r="Y20" i="13"/>
  <c r="P16" i="14"/>
  <c r="P15" i="14" s="1"/>
  <c r="P14" i="14" s="1"/>
  <c r="K12" i="6"/>
  <c r="AB10" i="13"/>
  <c r="AB11" i="13" s="1"/>
  <c r="AC11" i="13" s="1"/>
  <c r="AC18" i="13" s="1"/>
  <c r="A21" i="13"/>
  <c r="S378" i="5"/>
  <c r="U16" i="14"/>
  <c r="U15" i="14" s="1"/>
  <c r="U14" i="14" s="1"/>
  <c r="AC16" i="14"/>
  <c r="AC15" i="14" s="1"/>
  <c r="AC14" i="14" s="1"/>
  <c r="J47" i="15"/>
  <c r="P47" i="15" s="1"/>
  <c r="Q47" i="15"/>
  <c r="E33" i="15"/>
  <c r="E44" i="15"/>
  <c r="G24" i="15"/>
  <c r="N46" i="15"/>
  <c r="N45" i="15" s="1"/>
  <c r="J45" i="15" s="1"/>
  <c r="E26" i="15"/>
  <c r="E36" i="15"/>
  <c r="I31" i="15"/>
  <c r="I24" i="15" s="1"/>
  <c r="K43" i="15"/>
  <c r="H24" i="15"/>
  <c r="F47" i="15"/>
  <c r="D23" i="15"/>
  <c r="H47" i="15"/>
  <c r="H45" i="15" s="1"/>
  <c r="H43" i="15" s="1"/>
  <c r="D46" i="15"/>
  <c r="Q12" i="6"/>
  <c r="R12" i="6"/>
  <c r="O109" i="1"/>
  <c r="M109" i="1" s="1"/>
  <c r="FT12" i="1"/>
  <c r="FT11" i="1" s="1"/>
  <c r="FT10" i="1" s="1"/>
  <c r="S100" i="1"/>
  <c r="O50" i="1"/>
  <c r="M50" i="1" s="1"/>
  <c r="I11" i="1"/>
  <c r="I10" i="1" s="1"/>
  <c r="R13" i="1"/>
  <c r="L11" i="1"/>
  <c r="L10" i="1" s="1"/>
  <c r="O15" i="1"/>
  <c r="M15" i="1" s="1"/>
  <c r="V100" i="1"/>
  <c r="S103" i="1"/>
  <c r="O17" i="1"/>
  <c r="M17" i="1" s="1"/>
  <c r="S44" i="1"/>
  <c r="AE9" i="1"/>
  <c r="AF9" i="1" s="1"/>
  <c r="V44" i="1"/>
  <c r="AL15" i="1"/>
  <c r="P13" i="1"/>
  <c r="O53" i="1"/>
  <c r="M53" i="1" s="1"/>
  <c r="S107" i="1"/>
  <c r="O49" i="1"/>
  <c r="M49" i="1" s="1"/>
  <c r="V103" i="1"/>
  <c r="Q44" i="1"/>
  <c r="O56" i="1"/>
  <c r="M56" i="1" s="1"/>
  <c r="P44" i="1"/>
  <c r="O47" i="1"/>
  <c r="M47" i="1" s="1"/>
  <c r="R44" i="1"/>
  <c r="O104" i="1"/>
  <c r="O108" i="1"/>
  <c r="T13" i="1"/>
  <c r="T12" i="1" s="1"/>
  <c r="W44" i="1"/>
  <c r="V107" i="1"/>
  <c r="V15" i="1"/>
  <c r="V13" i="1" s="1"/>
  <c r="S13" i="1"/>
  <c r="O52" i="1"/>
  <c r="M52" i="1" s="1"/>
  <c r="O14" i="1"/>
  <c r="AD9" i="1"/>
  <c r="AD13" i="1" s="1"/>
  <c r="AE6" i="1"/>
  <c r="O16" i="1"/>
  <c r="M16" i="1" s="1"/>
  <c r="AL50" i="1"/>
  <c r="A46" i="1"/>
  <c r="Y11" i="1"/>
  <c r="Y10" i="1" s="1"/>
  <c r="J58" i="15"/>
  <c r="P58" i="15" s="1"/>
  <c r="N57" i="15"/>
  <c r="Q58" i="15"/>
  <c r="X10" i="15"/>
  <c r="Q56" i="15"/>
  <c r="J56" i="15"/>
  <c r="P56" i="15" s="1"/>
  <c r="E37" i="15"/>
  <c r="F43" i="15"/>
  <c r="D22" i="15"/>
  <c r="Q61" i="15"/>
  <c r="Y18" i="15"/>
  <c r="P32" i="15"/>
  <c r="G45" i="15"/>
  <c r="S45" i="15"/>
  <c r="N44" i="15"/>
  <c r="AF1" i="15"/>
  <c r="AB18" i="15"/>
  <c r="F31" i="15"/>
  <c r="D32" i="15"/>
  <c r="Q35" i="15"/>
  <c r="D48" i="15"/>
  <c r="R53" i="15"/>
  <c r="O55" i="15"/>
  <c r="Y12" i="15"/>
  <c r="Q41" i="15"/>
  <c r="D44" i="15"/>
  <c r="D49" i="15"/>
  <c r="Q23" i="15"/>
  <c r="R27" i="15"/>
  <c r="P36" i="15"/>
  <c r="Q51" i="15"/>
  <c r="F59" i="15"/>
  <c r="R63" i="15"/>
  <c r="T64" i="15"/>
  <c r="Q69" i="15"/>
  <c r="Y21" i="15"/>
  <c r="D60" i="15"/>
  <c r="AE60" i="15" s="1"/>
  <c r="J40" i="15"/>
  <c r="P40" i="15" s="1"/>
  <c r="E39" i="15"/>
  <c r="S35" i="15"/>
  <c r="M24" i="15"/>
  <c r="M22" i="15" s="1"/>
  <c r="M21" i="15" s="1"/>
  <c r="J29" i="15"/>
  <c r="P29" i="15" s="1"/>
  <c r="J35" i="15"/>
  <c r="J31" i="15"/>
  <c r="P31" i="15" s="1"/>
  <c r="Q31" i="15"/>
  <c r="O24" i="15"/>
  <c r="O22" i="15" s="1"/>
  <c r="J25" i="15"/>
  <c r="P25" i="15" s="1"/>
  <c r="N27" i="15"/>
  <c r="J28" i="15"/>
  <c r="P28" i="15" s="1"/>
  <c r="J30" i="15"/>
  <c r="P30" i="15" s="1"/>
  <c r="J33" i="15"/>
  <c r="P33" i="15" s="1"/>
  <c r="R35" i="15"/>
  <c r="U24" i="15"/>
  <c r="J26" i="15"/>
  <c r="P26" i="15" s="1"/>
  <c r="Q33" i="15"/>
  <c r="Q26" i="15"/>
  <c r="AB11" i="15" l="1"/>
  <c r="AQ14" i="14"/>
  <c r="P35" i="15"/>
  <c r="V10" i="15"/>
  <c r="AB10" i="15" s="1"/>
  <c r="P51" i="15"/>
  <c r="T50" i="15"/>
  <c r="AB19" i="13"/>
  <c r="Q17" i="13"/>
  <c r="Q16" i="13" s="1"/>
  <c r="Q11" i="13" s="1"/>
  <c r="Y11" i="15"/>
  <c r="C14" i="8"/>
  <c r="V12" i="1"/>
  <c r="V11" i="1" s="1"/>
  <c r="V10" i="1" s="1"/>
  <c r="AD7" i="1" s="1"/>
  <c r="AE7" i="1" s="1"/>
  <c r="S12" i="1"/>
  <c r="S11" i="1" s="1"/>
  <c r="S10" i="1" s="1"/>
  <c r="T11" i="1"/>
  <c r="T10" i="1" s="1"/>
  <c r="X12" i="1"/>
  <c r="X11" i="1" s="1"/>
  <c r="X10" i="1" s="1"/>
  <c r="U12" i="1"/>
  <c r="U11" i="1" s="1"/>
  <c r="U10" i="1" s="1"/>
  <c r="R55" i="15"/>
  <c r="R12" i="1"/>
  <c r="R11" i="1" s="1"/>
  <c r="R10" i="1" s="1"/>
  <c r="P12" i="1"/>
  <c r="P11" i="1" s="1"/>
  <c r="P10" i="1" s="1"/>
  <c r="Q12" i="1"/>
  <c r="Q11" i="1" s="1"/>
  <c r="Q10" i="1" s="1"/>
  <c r="W12" i="1"/>
  <c r="W11" i="1" s="1"/>
  <c r="W10" i="1" s="1"/>
  <c r="AA13" i="1" s="1"/>
  <c r="H12" i="1"/>
  <c r="H11" i="1" s="1"/>
  <c r="H10" i="1" s="1"/>
  <c r="T16" i="2"/>
  <c r="F16" i="2"/>
  <c r="P6" i="2" s="1"/>
  <c r="T14" i="2"/>
  <c r="F14" i="2"/>
  <c r="F12" i="2" s="1"/>
  <c r="F10" i="2" s="1"/>
  <c r="E50" i="15"/>
  <c r="R11" i="5"/>
  <c r="AD8" i="5" s="1"/>
  <c r="D47" i="15"/>
  <c r="D50" i="15"/>
  <c r="R64" i="15"/>
  <c r="S24" i="15"/>
  <c r="S12" i="6"/>
  <c r="K50" i="5"/>
  <c r="K11" i="5" s="1"/>
  <c r="I21" i="15"/>
  <c r="H21" i="15"/>
  <c r="M50" i="5"/>
  <c r="M11" i="5" s="1"/>
  <c r="N11" i="5"/>
  <c r="S64" i="15"/>
  <c r="P64" i="15" s="1"/>
  <c r="T11" i="5"/>
  <c r="P11" i="5"/>
  <c r="AF64" i="15"/>
  <c r="T21" i="15"/>
  <c r="S55" i="15"/>
  <c r="E47" i="15"/>
  <c r="R11" i="13"/>
  <c r="D31" i="15"/>
  <c r="AE8" i="13"/>
  <c r="AG7" i="13"/>
  <c r="J46" i="15"/>
  <c r="P46" i="15" s="1"/>
  <c r="A22" i="13"/>
  <c r="A17" i="5"/>
  <c r="A18" i="5" s="1"/>
  <c r="Q303" i="5"/>
  <c r="Q235" i="5" s="1"/>
  <c r="Q50" i="5" s="1"/>
  <c r="Q11" i="5" s="1"/>
  <c r="S235" i="5"/>
  <c r="Y18" i="13"/>
  <c r="L17" i="13"/>
  <c r="AA333" i="5"/>
  <c r="O107" i="1"/>
  <c r="Q45" i="15"/>
  <c r="N55" i="15"/>
  <c r="J55" i="15" s="1"/>
  <c r="J50" i="15" s="1"/>
  <c r="K50" i="15"/>
  <c r="Q46" i="15"/>
  <c r="AE13" i="1"/>
  <c r="M108" i="1"/>
  <c r="M107" i="1" s="1"/>
  <c r="M104" i="1"/>
  <c r="M103" i="1" s="1"/>
  <c r="O103" i="1"/>
  <c r="O44" i="1"/>
  <c r="M44" i="1"/>
  <c r="O13" i="1"/>
  <c r="M14" i="1"/>
  <c r="M13" i="1" s="1"/>
  <c r="A47" i="1"/>
  <c r="Q57" i="15"/>
  <c r="J57" i="15"/>
  <c r="P57" i="15" s="1"/>
  <c r="F21" i="15"/>
  <c r="N43" i="15"/>
  <c r="Q44" i="15"/>
  <c r="J44" i="15"/>
  <c r="P44" i="15" s="1"/>
  <c r="Z10" i="15"/>
  <c r="Y10" i="15"/>
  <c r="E59" i="15"/>
  <c r="D59" i="15"/>
  <c r="S43" i="15"/>
  <c r="P45" i="15"/>
  <c r="D45" i="15"/>
  <c r="G43" i="15"/>
  <c r="G21" i="15" s="1"/>
  <c r="E31" i="15"/>
  <c r="F24" i="15"/>
  <c r="E24" i="15" s="1"/>
  <c r="O50" i="15"/>
  <c r="AF50" i="15" s="1"/>
  <c r="Q64" i="15"/>
  <c r="AE64" i="15"/>
  <c r="E45" i="15"/>
  <c r="Q27" i="15"/>
  <c r="Q24" i="15" s="1"/>
  <c r="J27" i="15"/>
  <c r="P27" i="15" s="1"/>
  <c r="N24" i="15"/>
  <c r="U22" i="15"/>
  <c r="R24" i="15"/>
  <c r="S50" i="15" l="1"/>
  <c r="M12" i="1"/>
  <c r="M11" i="1" s="1"/>
  <c r="M10" i="1" s="1"/>
  <c r="O12" i="1"/>
  <c r="O11" i="1" s="1"/>
  <c r="O10" i="1" s="1"/>
  <c r="F9" i="2"/>
  <c r="Y10" i="2"/>
  <c r="Y14" i="2" s="1"/>
  <c r="V14" i="2"/>
  <c r="V16" i="2"/>
  <c r="P50" i="15"/>
  <c r="R50" i="15"/>
  <c r="AG64" i="15"/>
  <c r="AA235" i="5"/>
  <c r="S50" i="5"/>
  <c r="S11" i="5" s="1"/>
  <c r="AE8" i="5" s="1"/>
  <c r="A24" i="13"/>
  <c r="A25" i="13" s="1"/>
  <c r="AD10" i="5"/>
  <c r="Y17" i="13"/>
  <c r="L16" i="13"/>
  <c r="A19" i="5"/>
  <c r="O21" i="15"/>
  <c r="T19" i="2"/>
  <c r="V19" i="2" s="1"/>
  <c r="P55" i="15"/>
  <c r="K21" i="15"/>
  <c r="AG3" i="15"/>
  <c r="D24" i="15"/>
  <c r="N50" i="15"/>
  <c r="Q55" i="15"/>
  <c r="A48" i="1"/>
  <c r="A49" i="1" s="1"/>
  <c r="E21" i="15"/>
  <c r="D21" i="15"/>
  <c r="Q43" i="15"/>
  <c r="J43" i="15"/>
  <c r="P43" i="15" s="1"/>
  <c r="E43" i="15"/>
  <c r="D43" i="15"/>
  <c r="J24" i="15"/>
  <c r="P24" i="15" s="1"/>
  <c r="N22" i="15"/>
  <c r="AF22" i="15"/>
  <c r="U21" i="15"/>
  <c r="S22" i="15"/>
  <c r="AA11" i="5" l="1"/>
  <c r="W11" i="5"/>
  <c r="W9" i="5" s="1"/>
  <c r="A20" i="5"/>
  <c r="Y16" i="13"/>
  <c r="L11" i="13"/>
  <c r="A27" i="13"/>
  <c r="A29" i="13" s="1"/>
  <c r="A31" i="13" s="1"/>
  <c r="A33" i="13" s="1"/>
  <c r="A21" i="5"/>
  <c r="AH1" i="15"/>
  <c r="AH5" i="15"/>
  <c r="AE50" i="15"/>
  <c r="AG50" i="15" s="1"/>
  <c r="AH50" i="15" s="1"/>
  <c r="Q50" i="15"/>
  <c r="A50" i="1"/>
  <c r="A51" i="1" s="1"/>
  <c r="A52" i="1" s="1"/>
  <c r="A53" i="1" s="1"/>
  <c r="N21" i="15"/>
  <c r="J22" i="15"/>
  <c r="AE22" i="15"/>
  <c r="R21" i="15"/>
  <c r="S21" i="15"/>
  <c r="A22" i="5" l="1"/>
  <c r="A23" i="5" s="1"/>
  <c r="J21" i="15"/>
  <c r="P21" i="15" s="1"/>
  <c r="AE21" i="15" s="1"/>
  <c r="Q21" i="15"/>
  <c r="A24" i="5" l="1"/>
  <c r="A25" i="5" l="1"/>
  <c r="A26" i="5" l="1"/>
  <c r="A27" i="5" l="1"/>
  <c r="A29" i="5" s="1"/>
  <c r="A31" i="5" s="1"/>
  <c r="A32" i="5" s="1"/>
  <c r="A33" i="5" s="1"/>
  <c r="A35" i="5" s="1"/>
  <c r="A36" i="5" l="1"/>
  <c r="A38" i="5" s="1"/>
  <c r="A39" i="5" s="1"/>
  <c r="A40" i="5" s="1"/>
  <c r="A41" i="5" s="1"/>
  <c r="A42" i="5" s="1"/>
  <c r="A43" i="5" s="1"/>
  <c r="A45" i="5" s="1"/>
  <c r="A47" i="5" s="1"/>
  <c r="A49"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8" i="5" s="1"/>
  <c r="A359" i="5" s="1"/>
  <c r="A361" i="5" l="1"/>
  <c r="A360" i="5"/>
  <c r="A362" i="5" l="1"/>
  <c r="A363" i="5" s="1"/>
  <c r="A364" i="5" s="1"/>
  <c r="A365" i="5" s="1"/>
  <c r="A366" i="5" s="1"/>
  <c r="A367" i="5" s="1"/>
  <c r="A368" i="5" s="1"/>
  <c r="A370" i="5" s="1"/>
  <c r="W214" i="5" s="1"/>
  <c r="A371" i="5" l="1"/>
  <c r="A372" i="5" s="1"/>
  <c r="A373" i="5" s="1"/>
  <c r="A374" i="5" s="1"/>
  <c r="A375" i="5" s="1"/>
  <c r="A376" i="5" s="1"/>
  <c r="A377" i="5" s="1"/>
  <c r="A379" i="5" s="1"/>
  <c r="A380" i="5" s="1"/>
  <c r="A381" i="5" s="1"/>
  <c r="A382" i="5" s="1"/>
  <c r="A383" i="5" s="1"/>
  <c r="A384" i="5" s="1"/>
  <c r="A385" i="5" s="1"/>
  <c r="A386" i="5" s="1"/>
  <c r="A387" i="5" s="1"/>
  <c r="A388" i="5" s="1"/>
  <c r="A389" i="5" s="1"/>
  <c r="A390" i="5" s="1"/>
  <c r="A391" i="5" s="1"/>
  <c r="A392" i="5" s="1"/>
  <c r="A393" i="5" s="1"/>
  <c r="A394" i="5" s="1"/>
  <c r="A395" i="5" s="1"/>
  <c r="A396" i="5" s="1"/>
  <c r="A398" i="5" s="1"/>
  <c r="A399" i="5" s="1"/>
  <c r="A400" i="5" s="1"/>
  <c r="A401" i="5" s="1"/>
  <c r="A402" i="5" s="1"/>
  <c r="A403" i="5" s="1"/>
  <c r="A404" i="5" s="1"/>
  <c r="A405" i="5" s="1"/>
  <c r="A406" i="5" s="1"/>
  <c r="A408" i="5" s="1"/>
  <c r="A409" i="5" s="1"/>
  <c r="A410" i="5" s="1"/>
  <c r="A411" i="5" s="1"/>
  <c r="A412" i="5" s="1"/>
  <c r="A413" i="5" s="1"/>
  <c r="A414" i="5" s="1"/>
  <c r="A415" i="5" s="1"/>
  <c r="A416" i="5" s="1"/>
  <c r="A417" i="5" s="1"/>
  <c r="A418" i="5" s="1"/>
  <c r="A419" i="5" s="1"/>
  <c r="A420" i="5" s="1"/>
  <c r="A421" i="5" s="1"/>
  <c r="A422" i="5" s="1"/>
  <c r="A423"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1" i="5" s="1"/>
  <c r="A452" i="5" s="1"/>
  <c r="A453" i="5" s="1"/>
  <c r="A455" i="5" s="1"/>
  <c r="A457" i="5" s="1"/>
  <c r="A458" i="5" s="1"/>
  <c r="A459" i="5" s="1"/>
  <c r="A460" i="5" s="1"/>
  <c r="A461" i="5" s="1"/>
  <c r="A462" i="5" s="1"/>
  <c r="A463" i="5" s="1"/>
  <c r="A464" i="5" s="1"/>
  <c r="A87" i="1"/>
  <c r="A110" i="1"/>
  <c r="A78" i="1"/>
  <c r="A65" i="1"/>
  <c r="A97" i="1"/>
  <c r="A58" i="1"/>
  <c r="A62" i="1"/>
  <c r="A76" i="1"/>
  <c r="A66" i="1"/>
  <c r="A64" i="1"/>
  <c r="A63" i="1"/>
  <c r="A102" i="1"/>
  <c r="A82" i="1"/>
  <c r="A95" i="1"/>
  <c r="A73" i="1"/>
  <c r="A86" i="1"/>
  <c r="A83" i="1"/>
  <c r="A84" i="1"/>
  <c r="A75" i="1"/>
  <c r="A88" i="1"/>
  <c r="A69" i="1"/>
  <c r="A57" i="1"/>
  <c r="A77" i="1"/>
  <c r="A81" i="1"/>
  <c r="A56" i="1"/>
  <c r="A79" i="1"/>
  <c r="A108" i="1"/>
  <c r="A67" i="1"/>
  <c r="A80" i="1"/>
  <c r="A74" i="1"/>
  <c r="A109" i="1"/>
  <c r="A71" i="1"/>
  <c r="A59" i="1"/>
  <c r="A70" i="1"/>
  <c r="A60" i="1"/>
  <c r="A72" i="1"/>
  <c r="A105" i="1"/>
  <c r="A68" i="1"/>
  <c r="A55" i="1"/>
  <c r="A99" i="1"/>
  <c r="A106" i="1"/>
  <c r="A61" i="1"/>
  <c r="A104" i="1"/>
  <c r="A101" i="1"/>
  <c r="A93" i="1"/>
  <c r="A92" i="1"/>
  <c r="A54" i="1"/>
  <c r="A89" i="1"/>
  <c r="A91" i="1"/>
</calcChain>
</file>

<file path=xl/comments1.xml><?xml version="1.0" encoding="utf-8"?>
<comments xmlns="http://schemas.openxmlformats.org/spreadsheetml/2006/main">
  <authors>
    <author>Admin</author>
    <author>admin</author>
    <author>Windows 7</author>
  </authors>
  <commentList>
    <comment ref="B14" authorId="0" shapeId="0">
      <text>
        <r>
          <rPr>
            <b/>
            <sz val="9"/>
            <color indexed="81"/>
            <rFont val="Tahoma"/>
            <family val="2"/>
          </rPr>
          <t>ĐC Dự án dự kiến khởi công mới giai đoạn 2021 - 2025 (chưa hoàn chỉnh thủ tục trình CTĐT) sang DM giao chính thức KHVTH đợt 2 tại QĐ 1270</t>
        </r>
      </text>
    </comment>
    <comment ref="H16" authorId="0" shapeId="0">
      <text>
        <r>
          <rPr>
            <b/>
            <sz val="9"/>
            <color indexed="81"/>
            <rFont val="Tahoma"/>
            <family val="2"/>
          </rPr>
          <t>Admin:</t>
        </r>
        <r>
          <rPr>
            <sz val="9"/>
            <color indexed="81"/>
            <rFont val="Tahoma"/>
            <family val="2"/>
          </rPr>
          <t xml:space="preserve">
Đang tăng TMĐT</t>
        </r>
      </text>
    </comment>
    <comment ref="B49" authorId="0" shapeId="0">
      <text>
        <r>
          <rPr>
            <b/>
            <sz val="9"/>
            <color indexed="81"/>
            <rFont val="Tahoma"/>
            <family val="2"/>
          </rPr>
          <t>Admin:</t>
        </r>
        <r>
          <rPr>
            <sz val="9"/>
            <color indexed="81"/>
            <rFont val="Tahoma"/>
            <family val="2"/>
          </rPr>
          <t xml:space="preserve">
Vsip II</t>
        </r>
      </text>
    </comment>
    <comment ref="I97" authorId="1" shapeId="0">
      <text>
        <r>
          <rPr>
            <b/>
            <sz val="9"/>
            <color indexed="81"/>
            <rFont val="Tahoma"/>
            <family val="2"/>
          </rPr>
          <t>admin:</t>
        </r>
        <r>
          <rPr>
            <sz val="9"/>
            <color indexed="81"/>
            <rFont val="Tahoma"/>
            <family val="2"/>
          </rPr>
          <t xml:space="preserve">
nguồn thu của Bệnh viện đa khoa tỉnh 20.586 triệu đồng
</t>
        </r>
      </text>
    </comment>
    <comment ref="B112" authorId="2" shapeId="0">
      <text>
        <r>
          <rPr>
            <b/>
            <sz val="9"/>
            <color indexed="81"/>
            <rFont val="Tahoma"/>
            <family val="2"/>
            <charset val="163"/>
          </rPr>
          <t>Tên cũ "HTMT cho UBND TP Quảng Ngãi thực hiện 03 dự án bồi thường (Khu đô thị - Dịch vụ Mỹ Khê; Khu đô thị sinh thái dọc sông Trà Khúc; Khu đô thị sinh thái hạ lưu đạp dâng dọc sông Trà Khúc)"</t>
        </r>
      </text>
    </comment>
  </commentList>
</comments>
</file>

<file path=xl/comments2.xml><?xml version="1.0" encoding="utf-8"?>
<comments xmlns="http://schemas.openxmlformats.org/spreadsheetml/2006/main">
  <authors>
    <author>An</author>
    <author>admin</author>
  </authors>
  <commentList>
    <comment ref="G125" authorId="0" shapeId="0">
      <text>
        <r>
          <rPr>
            <b/>
            <sz val="9"/>
            <color indexed="81"/>
            <rFont val="Tahoma"/>
            <family val="2"/>
          </rPr>
          <t>An:</t>
        </r>
        <r>
          <rPr>
            <sz val="9"/>
            <color indexed="81"/>
            <rFont val="Tahoma"/>
            <family val="2"/>
          </rPr>
          <t xml:space="preserve">
nguyễn thiệu 0,35km, trần nam trung 0,35km, trước bql 0,15km</t>
        </r>
      </text>
    </comment>
    <comment ref="P463" authorId="1" shapeId="0">
      <text>
        <r>
          <rPr>
            <b/>
            <sz val="9"/>
            <color indexed="81"/>
            <rFont val="Tahoma"/>
            <family val="2"/>
          </rPr>
          <t>admin:</t>
        </r>
        <r>
          <rPr>
            <sz val="9"/>
            <color indexed="81"/>
            <rFont val="Tahoma"/>
            <family val="2"/>
          </rPr>
          <t xml:space="preserve">
Chuẩn bị đầu tư
</t>
        </r>
      </text>
    </comment>
  </commentList>
</comments>
</file>

<file path=xl/comments3.xml><?xml version="1.0" encoding="utf-8"?>
<comments xmlns="http://schemas.openxmlformats.org/spreadsheetml/2006/main">
  <authors>
    <author>DPI - Hoang Anh</author>
  </authors>
  <commentList>
    <comment ref="O24" authorId="0" shapeId="0">
      <text>
        <r>
          <rPr>
            <b/>
            <sz val="9"/>
            <color indexed="81"/>
            <rFont val="Tahoma"/>
            <family val="2"/>
          </rPr>
          <t>DPI - Hoang Anh:</t>
        </r>
        <r>
          <rPr>
            <sz val="9"/>
            <color indexed="81"/>
            <rFont val="Tahoma"/>
            <family val="2"/>
          </rPr>
          <t xml:space="preserve">
Ngoài ra btri CBĐT 250tr</t>
        </r>
      </text>
    </comment>
    <comment ref="R24" authorId="0" shapeId="0">
      <text>
        <r>
          <rPr>
            <b/>
            <sz val="9"/>
            <color indexed="81"/>
            <rFont val="Tahoma"/>
            <family val="2"/>
          </rPr>
          <t>DPI - Hoang Anh:</t>
        </r>
        <r>
          <rPr>
            <sz val="9"/>
            <color indexed="81"/>
            <rFont val="Tahoma"/>
            <family val="2"/>
          </rPr>
          <t xml:space="preserve">
Ngoài ra btri CBĐT 250tr</t>
        </r>
      </text>
    </comment>
    <comment ref="Q27" authorId="0" shapeId="0">
      <text>
        <r>
          <rPr>
            <b/>
            <sz val="9"/>
            <color indexed="81"/>
            <rFont val="Tahoma"/>
            <family val="2"/>
          </rPr>
          <t>DPI - Hoang Anh:</t>
        </r>
        <r>
          <rPr>
            <sz val="9"/>
            <color indexed="81"/>
            <rFont val="Tahoma"/>
            <family val="2"/>
          </rPr>
          <t xml:space="preserve">
KH năm 2024 ko giải ngân hết và được bố trí lại năm 2025</t>
        </r>
      </text>
    </comment>
  </commentList>
</comments>
</file>

<file path=xl/sharedStrings.xml><?xml version="1.0" encoding="utf-8"?>
<sst xmlns="http://schemas.openxmlformats.org/spreadsheetml/2006/main" count="4649" uniqueCount="1892">
  <si>
    <t>ĐVT Triệu đồng</t>
  </si>
  <si>
    <t>SDĐ</t>
  </si>
  <si>
    <t>Nguồn vốn</t>
  </si>
  <si>
    <t>Đầu mối giao kế hoạch</t>
  </si>
  <si>
    <t>Nhóm dự án</t>
  </si>
  <si>
    <t>Năng lực thiết kế</t>
  </si>
  <si>
    <t>Dự kiến năm KC-HT</t>
  </si>
  <si>
    <t>Quyết định Chủ trương đầu tư/Quết định đầu tư</t>
  </si>
  <si>
    <t>Tổng mức đầu tư</t>
  </si>
  <si>
    <t>Lũy kế vốn đã bố trí đến năm 2020</t>
  </si>
  <si>
    <t>Vốn CBĐT đã bố trí đến năm 2025</t>
  </si>
  <si>
    <t>Kế hoạch trung hạn giai đoạn 2021 - 2025 sau điều chỉnh, bổ sung</t>
  </si>
  <si>
    <t>Lũy kế vốn thực hiện đã bố trí từ 2021 đến năm 2025</t>
  </si>
  <si>
    <t>Giá trị chuyển tiếp qua giai đoạn 2026-2030 theo TMĐT</t>
  </si>
  <si>
    <t>Nhu cầu vốn giai đoạn 2026-2030</t>
  </si>
  <si>
    <t>Trong đó</t>
  </si>
  <si>
    <t>Ghi chú</t>
  </si>
  <si>
    <t>Trung hạn sau điều chỉnh</t>
  </si>
  <si>
    <t>Bội chi</t>
  </si>
  <si>
    <t>Tổng số</t>
  </si>
  <si>
    <t xml:space="preserve">Trong đó: NSĐP </t>
  </si>
  <si>
    <t>NSTW</t>
  </si>
  <si>
    <t>NSĐP</t>
  </si>
  <si>
    <t>Trong đó:</t>
  </si>
  <si>
    <t>Nhu cầu chuyển tiếp</t>
  </si>
  <si>
    <t>Thiếu so với 95% TMĐT ngân sách tỉnh</t>
  </si>
  <si>
    <t>XDCB tập trung</t>
  </si>
  <si>
    <t>Thu từ sắp xếp lại, xử lý nhà, đất thuộc sở hữu nhà nước</t>
  </si>
  <si>
    <t>Nguồn thu tiền sử dụng đất</t>
  </si>
  <si>
    <t>Tổng thiếu</t>
  </si>
  <si>
    <t>XDCB</t>
  </si>
  <si>
    <t>Đất</t>
  </si>
  <si>
    <t>Nhu cầu năm 2022</t>
  </si>
  <si>
    <t>16=17+18</t>
  </si>
  <si>
    <t>TỔNG SỐ</t>
  </si>
  <si>
    <t>A</t>
  </si>
  <si>
    <t>Dự án chuyển tiếp do cấp tỉnh quản lý</t>
  </si>
  <si>
    <t>A.1</t>
  </si>
  <si>
    <t>Dự án do các sở, ban ngành làm chủ đầu tư</t>
  </si>
  <si>
    <t>I</t>
  </si>
  <si>
    <t>BQLDA ĐTXD CT Giao thông tỉnh</t>
  </si>
  <si>
    <t>Đường Hoàng Sa - Dốc Sỏi</t>
  </si>
  <si>
    <t>BQLDA ĐTXD công trình Giao thông tỉnh</t>
  </si>
  <si>
    <t>2023-2027</t>
  </si>
  <si>
    <t>72/NQ-HĐND, 12/10/2021</t>
  </si>
  <si>
    <t>Kè chống sạt lở và tôn tạo cảnh quan bờ Nam sông Trà Khúc (Cầu Trà Khúc I - bến Tam Thương)</t>
  </si>
  <si>
    <t>BQLDA ĐTXD các công trình Giao thông tỉnh</t>
  </si>
  <si>
    <t>B</t>
  </si>
  <si>
    <t>2023-2026</t>
  </si>
  <si>
    <t>74/NQ-HĐND, 12/10/2021</t>
  </si>
  <si>
    <t>Đê chắn cát, giảm sóng và Nạo vét thông luồng và Khu neo đậu tránh bão cảng cá Sa Huỳnh</t>
  </si>
  <si>
    <t>2023-2025</t>
  </si>
  <si>
    <t>Số 1874/QĐ-UBND ngày 31/12/2022</t>
  </si>
  <si>
    <t>Đường nối từ cầu Thạch Bích đến Tịnh Phong</t>
  </si>
  <si>
    <t>2022-2025</t>
  </si>
  <si>
    <t>1247/QĐ-UBND ngày 30/8/2019;</t>
  </si>
  <si>
    <t>Đường ven biển Dung Quất - Sa Huỳnh, giai đoạn IIa, thành phần 1</t>
  </si>
  <si>
    <t>2019-2025</t>
  </si>
  <si>
    <t>592/QĐ-UBND ngày 23/4/2020 của UBND tỉnh</t>
  </si>
  <si>
    <t xml:space="preserve">Đường ven biển Dung Quất – Sa Huỳnh, giai đoạn IIb
</t>
  </si>
  <si>
    <t xml:space="preserve">2022 - 2025 </t>
  </si>
  <si>
    <t>297/QĐ-UBND ngày 09/3/2022,</t>
  </si>
  <si>
    <t>Nâng cấp, mở rộng hệ thống hạ tầng giao thông trên địa bàn KKT Dung Quất</t>
  </si>
  <si>
    <t xml:space="preserve"> 2024-2027 </t>
  </si>
  <si>
    <t>1478/QĐ-UBND ngày 22/11/2024</t>
  </si>
  <si>
    <t>Cầu Trà Khúc 1</t>
  </si>
  <si>
    <t>77/NQ-HĐND ngày 07/12/2023 của HĐND tỉnh</t>
  </si>
  <si>
    <t>Các tuyến đường trục vào KCN nặng Dung Quất Phía Đông</t>
  </si>
  <si>
    <t xml:space="preserve"> 2016-2025 </t>
  </si>
  <si>
    <t xml:space="preserve"> 1967/QĐ-UBND, 31/10/2015;</t>
  </si>
  <si>
    <t>Đường Trì Bình - Cảng Dung Quất</t>
  </si>
  <si>
    <t xml:space="preserve"> 2014-2025</t>
  </si>
  <si>
    <t xml:space="preserve"> 648/QĐ-UBND ngày 29/4/2014 </t>
  </si>
  <si>
    <t xml:space="preserve">  1.113.277</t>
  </si>
  <si>
    <t>Dự án Tuyến đường trục liên cảng Dung Quất 1</t>
  </si>
  <si>
    <t>2016-2025</t>
  </si>
  <si>
    <t xml:space="preserve">1874/QĐ-UBND ngày 10/10/2016 </t>
  </si>
  <si>
    <t>Thành phần II, đoạn Bình Long - cảng Dung Quất (giai đoạn 2)</t>
  </si>
  <si>
    <t xml:space="preserve"> 2013-2025</t>
  </si>
  <si>
    <t>117/QĐ-BQL ngày 21/3/2006, 629/QĐ-BQL ngày 23/9/2008</t>
  </si>
  <si>
    <t>Tuyến đường giao thông trục chính nối Trung tâm phía Bắc và phía Nam đô thị Vạn Tường</t>
  </si>
  <si>
    <t xml:space="preserve"> 2011-2025</t>
  </si>
  <si>
    <t xml:space="preserve"> 1488/QĐ-UBND ngày 30/9/2011 </t>
  </si>
  <si>
    <t>Sửa chữa, mở rộng kênh tưới hồ chứa nước Tuyền Tung, huyện Bình Sơn</t>
  </si>
  <si>
    <t>C</t>
  </si>
  <si>
    <t>2025-2026</t>
  </si>
  <si>
    <t>485/QĐ-UBND ngày 20/5/2022</t>
  </si>
  <si>
    <t>Trung tâm văn hóa (giai đoạn 2)</t>
  </si>
  <si>
    <t xml:space="preserve"> 2286/QĐ-UBND ngày 17/7/2023</t>
  </si>
  <si>
    <t>Nâng cấp, mở rộng tuyến đường Trường Xuân - Quốc lộ 24B - Tịnh Thọ (Bình Hiệp - Tịnh Trà) (ĐH 20)</t>
  </si>
  <si>
    <t xml:space="preserve"> 3367/QĐ-UBND ngày 01/12/2022 </t>
  </si>
  <si>
    <t>2025-2027</t>
  </si>
  <si>
    <t>2024-2026</t>
  </si>
  <si>
    <t>Tuyến N9 Trung tâm huyện lỵ Sơn Tịnh (mới)</t>
  </si>
  <si>
    <t>1921/QĐ-UBND ngày 31/10/2018</t>
  </si>
  <si>
    <t>Tuyến đường trục ngang N3 theo đồ án quy hoạch chung đô thị mới Sơn Tịnh</t>
  </si>
  <si>
    <t>702/QĐ-UBND ngày 08/4/2025</t>
  </si>
  <si>
    <t xml:space="preserve">Tuyến đường huyện ĐH.15 (Bình Hiệp - Tịnh Trà) </t>
  </si>
  <si>
    <t>552/ QĐ-UBND ngày 21/3/2025</t>
  </si>
  <si>
    <t>Đường từ ĐT.621 đi Lê Ngung</t>
  </si>
  <si>
    <t xml:space="preserve"> C </t>
  </si>
  <si>
    <t>2297/QĐ-UBND ngày 01/12/2022 của CT UBND huyện Bình Sơn</t>
  </si>
  <si>
    <t>Xây dựng cơ sở hạ tầng khu tái định cư Vạn Tường</t>
  </si>
  <si>
    <t xml:space="preserve"> B </t>
  </si>
  <si>
    <t xml:space="preserve"> 2021-2025 </t>
  </si>
  <si>
    <t>656/QĐ-UBND ngày 10/5/2021;</t>
  </si>
  <si>
    <t>Trồng cây xanh cụm công nghiệp Bình Nguyên</t>
  </si>
  <si>
    <t>1146/QĐ-UBND ngày 14/5/2024</t>
  </si>
  <si>
    <t>Hồ chứa nước Hố Lở Bình Minh</t>
  </si>
  <si>
    <t>1969/QĐ-UBND ngày 07/11/2008</t>
  </si>
  <si>
    <t>Tuyến đường Trà Thanh, huyện Trà Bồng đi Trà Giáp, huyện Bắc Trà My, tỉnh Quảng Nam</t>
  </si>
  <si>
    <t>5992/QĐ-UBND ngày 01/12/2023</t>
  </si>
  <si>
    <t>Tuyến đường từ Cây chò đi Trà Nham</t>
  </si>
  <si>
    <t>9539/QĐ-UBND ngày 04/12/2021</t>
  </si>
  <si>
    <t>Tuyến đường số 2 nội vùng hồ nước trong</t>
  </si>
  <si>
    <t>5944/QĐ-UBND ngày  04/12/2021</t>
  </si>
  <si>
    <t>Đường ĐH.77 (Di Lăng - Sơn Bao)</t>
  </si>
  <si>
    <t>4695/QĐ-UBND ngày 03/12/2021</t>
  </si>
  <si>
    <t>Đường tránh Tây thị trấn Di Lăng</t>
  </si>
  <si>
    <t>4635/QĐ-UBND ngày 01/12/2021</t>
  </si>
  <si>
    <t>Kè chống sạt lỡ TT huyện</t>
  </si>
  <si>
    <t>18/NQ-HĐND ngày 09/7/2021</t>
  </si>
  <si>
    <t>Cầu Sơn Mùa và đường vào 2 đầu cầu</t>
  </si>
  <si>
    <t>40/NQ-HĐND ngày 01/11/2021</t>
  </si>
  <si>
    <t>II</t>
  </si>
  <si>
    <t>BQLDA ĐTXD các công trình Dân dụng và công nghiệp tỉnh</t>
  </si>
  <si>
    <t>Nâng cấp, cải tạo sân vận động tỉnh và đường vành đai xung quanh sân vận động</t>
  </si>
  <si>
    <t>49/NQ-HĐND, 21/7/2021</t>
  </si>
  <si>
    <t>Vướng BTGPMB; bố trí vốn tỉnh bù vốn TW bị hủy</t>
  </si>
  <si>
    <t>Đầu tư sửa chữa, cải tạo, nâng cấp xây dựng cơ sở vật chất và mua sắm trang thiết bị y tế của ngành Y tế</t>
  </si>
  <si>
    <t>33/NQ-HĐND ngày 21/7/2023</t>
  </si>
  <si>
    <t xml:space="preserve">Bị hủy vốn tăng thu </t>
  </si>
  <si>
    <t>Trường Chính trị tỉnh (giai đoạn 2)</t>
  </si>
  <si>
    <t>BQL DA ĐTXD các CT dân dụng và công nghiệp tỉnh</t>
  </si>
  <si>
    <t>37/NQ-HĐND ngày 21/7/2024</t>
  </si>
  <si>
    <t>Trường THPT Lý Sơn</t>
  </si>
  <si>
    <t xml:space="preserve"> 42/NQ-HĐND ngày 22/9/2023</t>
  </si>
  <si>
    <t>Xây dựng cơ sở hạ tầng khu tái định cư và khu nghĩa địa cải táng mồ mả phục vụ các dự án tại Khu công nghiệp, dịch vụ, đô thị Bình Thanh</t>
  </si>
  <si>
    <t>BQL KKT Dung Quất và các KCN Quảng Ngãi</t>
  </si>
  <si>
    <t>2024-2027</t>
  </si>
  <si>
    <t xml:space="preserve"> 43/NQ-HĐND ngày 22/9/2023</t>
  </si>
  <si>
    <t>Hệ thống thu gom, xử lý nước mưa, nước thải thành phố Quảng Ngãi lưu vực phía Nam hạ lưu sông Trà Khúc</t>
  </si>
  <si>
    <t>41/NQ-HĐND ngày 22/9/2023</t>
  </si>
  <si>
    <t>Điều chỉnh dự án</t>
  </si>
  <si>
    <t>Nâng cấp Bệnh viện đa khoa tỉnh (Hạng mục: Khoa Y học nhiệt đới, Khoa Ung Bướu, Khoa Phục hồi chức năng, Khoa thận nhân tạo, Khoa ngoại lẻ, Kho lưu trữ hồ sơ, Kho hành chính)</t>
  </si>
  <si>
    <t>63/NQ-HĐND ngày 10/12/2024</t>
  </si>
  <si>
    <t>Nâng cấp và chỉnh trang Khu lưu niệm Thủ tướng Phạm Văn Đồng</t>
  </si>
  <si>
    <t>2024-2025</t>
  </si>
  <si>
    <t>14/NQ-HĐND ngày 29/6/2021</t>
  </si>
  <si>
    <t>Đường Trà Bồng Khởi Nghĩa, thành phố Quảng Ngãi (Đoạn từ đường Cách Mạng Tháng Tám đến đường Quang Trung)</t>
  </si>
  <si>
    <t>6699/QĐ-UBND ngày 25/11/2022</t>
  </si>
  <si>
    <t>Khu đô thị - Dịch vụ Mỹ Khê</t>
  </si>
  <si>
    <t>10/NQ-HĐND 22/6/2023</t>
  </si>
  <si>
    <t xml:space="preserve">Mở rộng nút giao thông ngã 5 cũ, thành phố Quảng Ngãi </t>
  </si>
  <si>
    <t>2022 - 2025</t>
  </si>
  <si>
    <t>521/QĐ-UBND
18/02/2022</t>
  </si>
  <si>
    <t xml:space="preserve">Công viên Thiên Bút, thành phố Quảng Ngãi </t>
  </si>
  <si>
    <t>2025-2028</t>
  </si>
  <si>
    <t>704/QĐ-UBND ngày 04/3/2025</t>
  </si>
  <si>
    <t>Công viên Cây xanh Thạch Bích, thành phố Quảng Ngãi</t>
  </si>
  <si>
    <t xml:space="preserve">12/NQ-HĐND ngày 30/7/2024 </t>
  </si>
  <si>
    <t>Đường Trương Quang Giao, huyện Tư Nghĩa</t>
  </si>
  <si>
    <t>BQL DA ĐT XD các công trình Dân dụng và Công nghiệp tỉnh Quảng Ngãi</t>
  </si>
  <si>
    <t>2025 - 2026</t>
  </si>
  <si>
    <t>2777; 12/5/2025</t>
  </si>
  <si>
    <t>Đường Phan Đình Phùng nối dài (đoạn từ KDC Phú Sơn đến đường dẫn cao tốc)</t>
  </si>
  <si>
    <t>18466; ngày 03/12/2021</t>
  </si>
  <si>
    <t>Trường mầm non Nghĩa Thắng</t>
  </si>
  <si>
    <t>3828; 08/7/2024</t>
  </si>
  <si>
    <t>Trường mầm non thị trấn Sông Vệ</t>
  </si>
  <si>
    <t>3827; 8/7/2025</t>
  </si>
  <si>
    <t>Khắc phục sạt lở đoạn bờ Sông Vệ, thôn Phú Lâm Tây, xã Hành Thiện</t>
  </si>
  <si>
    <t>2025</t>
  </si>
  <si>
    <t>2001 23/04/2025</t>
  </si>
  <si>
    <t>Kè chống sạt lở Sông Phước Giang đoạn qua TTCC</t>
  </si>
  <si>
    <t>5438
 ngày 22/8/2023</t>
  </si>
  <si>
    <t>Hồ Chứa nước Suối Đá</t>
  </si>
  <si>
    <t>2061/QĐ-UBND, ngày 28/10/2016</t>
  </si>
  <si>
    <t xml:space="preserve">Trong đó vốn TW là 90 tỷ </t>
  </si>
  <si>
    <t>Đường Tránh Đông, Nghĩa Hành</t>
  </si>
  <si>
    <t>1925/QĐ-UBND, ngày 31/10/2018</t>
  </si>
  <si>
    <t>Nâng cấp đường huyện ĐH.56C (Hành Minh - Hành Đức - Hành Phước)</t>
  </si>
  <si>
    <t>2149 25/10/2022</t>
  </si>
  <si>
    <t>Đường và Kè chống sạt lỡ từ xóm mới đến suối tía, xã Long Hiệp, huyện Minh Long</t>
  </si>
  <si>
    <t>2021-2026</t>
  </si>
  <si>
    <t>2002/QĐ-UBND ngày 30/12/2021</t>
  </si>
  <si>
    <t>Kè sạt lở bờ tả sông Phước Giang ( Đoạn từ Đập Suối Lớn đến Cầu Long Mai)</t>
  </si>
  <si>
    <t>1437/QĐ-UBND ngày 04/12/2023</t>
  </si>
  <si>
    <t>Xây dựng 04 phòng học trường THCS Long Sơn</t>
  </si>
  <si>
    <t>Đường Lê Thánh Tôn, thành phố Quảng Ngãi (đoạn từ đường Đinh Tiên Hoàng đến Ngã Tư Ba La)</t>
  </si>
  <si>
    <t>2013 - 2022</t>
  </si>
  <si>
    <t>1566/QĐ-UBND
30/10/2013</t>
  </si>
  <si>
    <t>Đường Nguyễn Hữu Cảnh</t>
  </si>
  <si>
    <t>1539/QĐ-UBND
18/4/2022</t>
  </si>
  <si>
    <t>2023 - 2026</t>
  </si>
  <si>
    <t xml:space="preserve">Nâng cấp, chỉnh trang các trục đường chính trên địa bàn thành phố </t>
  </si>
  <si>
    <t>7526/QĐ-UBND
12/12/2022</t>
  </si>
  <si>
    <t>Tuyến đường nối từ đường Trần Anh Tông đến KDC 623C Nghĩa Dũng</t>
  </si>
  <si>
    <t>2023 - 2025</t>
  </si>
  <si>
    <t>5952/QĐ-UBND
10/11/2022</t>
  </si>
  <si>
    <t>Nâng cấp, sửa chữa các tuyến đường BTXM và hệ thống thoát nước trên địa bàn thành phố Quảng Ngãi</t>
  </si>
  <si>
    <t>7862/QĐ-UBND
29/12/2023</t>
  </si>
  <si>
    <t>Đầu tư, nâng cấp các Trường Tiểu học trên địa bàn thành phố</t>
  </si>
  <si>
    <t>1958/QĐ-UBND ngày 28/4/2023</t>
  </si>
  <si>
    <t>Đầu tư, nâng cấp các Trường THCS trên địa bàn thành phố</t>
  </si>
  <si>
    <t>2022 -2025</t>
  </si>
  <si>
    <t>7604/QĐ-UBND
13/12/2022</t>
  </si>
  <si>
    <t>Đầu tư, nâng cấp các Trường Mầm non trên địa bàn thành phố</t>
  </si>
  <si>
    <t>2023 - 2027</t>
  </si>
  <si>
    <t>4985/QĐ-UBND
05/11/2024</t>
  </si>
  <si>
    <t>Xây dựng Trường TH &amp; THCS Chu Văn An, thành phố Quảng Ngãi</t>
  </si>
  <si>
    <t>338/QĐ-UBND
05/02/2025</t>
  </si>
  <si>
    <t>Nghĩa Trang nhân dân thành phố Quảng Ngãi</t>
  </si>
  <si>
    <t>1613/QĐ-UBND
08/4/2025</t>
  </si>
  <si>
    <t>Đầu tư, nâng cấp hệ thống điện chiếu sáng công cộng các tuyến đường và thôn hẻm phố trên địa bàn thành phố</t>
  </si>
  <si>
    <t>4372/QĐ-UBND
27/9/2023</t>
  </si>
  <si>
    <t>2018-2025</t>
  </si>
  <si>
    <t>Tuyến đường Đông Thị trấn (đường nội thị), huyện Mộ Đức</t>
  </si>
  <si>
    <t>2017-2022</t>
  </si>
  <si>
    <t>2085c/QĐ-UBND, ngày 28/10/2016</t>
  </si>
  <si>
    <t>Tuyến đấu nối các tuyến đường nội thị</t>
  </si>
  <si>
    <t>4734/QĐ-UBND, ngày 27/10/2017</t>
  </si>
  <si>
    <t>2021-2025</t>
  </si>
  <si>
    <t>Kè, khu neo đậu trú bão kết hợp bến cá, khu hậu cần nghề cá và khu dân cư xã Đức Lợi</t>
  </si>
  <si>
    <t>2017 - 2025</t>
  </si>
  <si>
    <t>4723/QĐ-UBND ngày 27/10/2017</t>
  </si>
  <si>
    <t>Đường Huỳnh Công Thiệu nối dài</t>
  </si>
  <si>
    <t>13591 - 03/12/2021; 2715 - 17/7/2024</t>
  </si>
  <si>
    <t>Hệ thống thoát nước khu vực đô thị (từ cầu Bàu đến Sông Rớ)</t>
  </si>
  <si>
    <t>2973; 26/8/2022</t>
  </si>
  <si>
    <t>III</t>
  </si>
  <si>
    <t>BQLDA ĐTXD các công trình Giao thông, Dân dụng và công nghiệp tỉnh</t>
  </si>
  <si>
    <t>Đường Trục chính phía Tây thành phố Kon Tum</t>
  </si>
  <si>
    <t xml:space="preserve">Ban Quản lý dự án đầu tư xây dựng các công trình giao thông, dân dụng và công nghiệp tỉnh </t>
  </si>
  <si>
    <t>1020-18/10/2020</t>
  </si>
  <si>
    <t>- Đối ứng NSTW
- Thực tế nhu cầu 2026-2030 là 700 tỷ, do nguồn đất năm 2025 chưa nhập tabmis 100 tỷ</t>
  </si>
  <si>
    <t>Cầu số 2 qua sông Đăk Bla (từ Phường Trường Chinh đi khu dân cư thôn Kon Jơ Ri, xã Đăk Rơ Wa, thành phố Kon Tum)</t>
  </si>
  <si>
    <t>2022-2026</t>
  </si>
  <si>
    <t>02-02/01/2021</t>
  </si>
  <si>
    <t xml:space="preserve">Đã xong công tác CBĐT </t>
  </si>
  <si>
    <t>Đầu tư xây dựng cải tạo, nâng cấp Tỉnh lộ 676 nối huyện Kon Plông, tỉnh Kon Tum với các huyện Sơn Tây, Sơn Hà, tỉnh Quảng Ngãi</t>
  </si>
  <si>
    <t>1080-07/10/2019; 02-02/01/2021</t>
  </si>
  <si>
    <t>- Đối ứng dự án liên vùng NSTW
- Thực tế nhu cầu 2026-2030 là 350 tỷ, do nguồn đất năm 2025 chưa nhập tabmis 80 tỷ</t>
  </si>
  <si>
    <t>Đường Trường Chinh (đoạn từ đường Phan Đình Phùng đến đường Đào Duy Từ - phạm vi cầu nối qua sông Đăk Bla)</t>
  </si>
  <si>
    <t>Nhu cầu CĐT báo 259 tỷ (KH 2025 nguồn thu đất chưa nhập tabmis 229 tỷ)</t>
  </si>
  <si>
    <t>IV</t>
  </si>
  <si>
    <t>Sở Xây dựng</t>
  </si>
  <si>
    <t>Nâng cấp mở rộng Tỉnh lộ 671 đoạn từ Km49+500 - Km52 (giao với đường Hồ Chí Minh)</t>
  </si>
  <si>
    <t>2022-</t>
  </si>
  <si>
    <t>Đầu tư xây dựng cải tạo, nâng cấp Tỉnh lộ 675 đoạn từ Km0 - Km24</t>
  </si>
  <si>
    <t>Xây dựng cầu và đường hai đầu cầu từ bến du lịch xã Ia Chim, thành phố Kon Tum (Tỉnh lộ 671) đến đường giao thông kết nối với Tỉnh lộ 675A xã Ya Ly huyện Sa Thầy</t>
  </si>
  <si>
    <t>NSTW bố trí đủ theo TMĐT</t>
  </si>
  <si>
    <t>V</t>
  </si>
  <si>
    <t>Ban Quản lý KKT Dung Quất và các KCN Quảng Ngãi</t>
  </si>
  <si>
    <t>Dự án Chỉnh trang đô thị, tạo quỹ đất để thực hiện quy hoạch Khu công nghiệp Sao Mai</t>
  </si>
  <si>
    <t>2020-2026</t>
  </si>
  <si>
    <t>QĐ ĐC số 527/QĐ-UBND ngày 17/6/2021</t>
  </si>
  <si>
    <t>Thực tế KH 2025 đã nhập tabmis là 11.508,7/53.805 trd</t>
  </si>
  <si>
    <t>VI</t>
  </si>
  <si>
    <t>Sở Y tế</t>
  </si>
  <si>
    <t>Bệnh viện Đa khoa tỉnh Quảng Ngãi 2 (Hạng mục: Nâng cấp Bệnh viện Đa khoa tỉnh Kon Tum từ bệnh viện hạng II lên bệnh viện hạng I quy mô 750 giường bệnh (giai đoạn 2))</t>
  </si>
  <si>
    <t>585-QĐ-UBND24/11/2023 (Kon Tum)</t>
  </si>
  <si>
    <t>VII</t>
  </si>
  <si>
    <t xml:space="preserve">Sở Nông nghiệp và Môi trường </t>
  </si>
  <si>
    <t>Dự án Bảo vệ,  khôi phục và phát triển rừng bền vững  trên địa bàn tỉnh Kon Tum giai đoạn 2021-2025</t>
  </si>
  <si>
    <t xml:space="preserve"> Sở Nông nghiệp và Môi trường</t>
  </si>
  <si>
    <t>Quyết định số 508/QĐ-UBND, ngày 28/8/2024 của UBND tỉnh Kon Tum (nay là UBND tỉnh Quảng Ngãi)</t>
  </si>
  <si>
    <t>Công an tỉnh</t>
  </si>
  <si>
    <t>Trung tâm chỉ huy Công an tỉnh Quảng Ngãi</t>
  </si>
  <si>
    <t>9333/QĐ-BCA ngày 15/12/2022</t>
  </si>
  <si>
    <t>Xây dựng trụ sở làm việc cho Công an xã trên địa bàn tỉnh Quảng Ngãi</t>
  </si>
  <si>
    <t>07/NQ-HĐND ngày 22/9/2023</t>
  </si>
  <si>
    <t>Bộ Chỉ huy Quân sự tỉnh</t>
  </si>
  <si>
    <t>Hải đội Dân quân thường trực tham gia bảo vệ chủ quyền biển, đảo trong tình hình mới (giai đoạn 2)</t>
  </si>
  <si>
    <t>07/NQ-HĐND ngày 08/9/2021</t>
  </si>
  <si>
    <t>Đường hầm SCH cơ bản huyện Ia H'Drai</t>
  </si>
  <si>
    <t>2021-2027</t>
  </si>
  <si>
    <t>546/QĐ-UBND ngày 26/8/2021</t>
  </si>
  <si>
    <t>Khu căn cứ Hậu cần kỹ thuật</t>
  </si>
  <si>
    <t>22/QĐ-UBND ngày 06/12/2021</t>
  </si>
  <si>
    <t>Sở Văn hóa, Thể thao và Du lịch</t>
  </si>
  <si>
    <t xml:space="preserve">Trùng tu, tôn tạo di tích Quốc gia Chùa Ông </t>
  </si>
  <si>
    <t>808/QĐ-UBND ngày 26/7/2022</t>
  </si>
  <si>
    <t>Tôn tạo di tích quốc gia Khu Chứng tích Sơn Mỹ</t>
  </si>
  <si>
    <t>916/QĐ-UBND ngày 08/9/2023</t>
  </si>
  <si>
    <t>Trung tâm Văn hóa nghệ thuật tỉnh Kon Tum</t>
  </si>
  <si>
    <t xml:space="preserve">1461/QĐ-UBND ngày 23/12/2019 ; 632/QĐ-UBND ngày 03/12/2021 </t>
  </si>
  <si>
    <t>A.2</t>
  </si>
  <si>
    <t>Dự án do địa phương làm chủ đầu tư</t>
  </si>
  <si>
    <t>Đầu tư tuyến đường quy hoạch ký hiệu D7 thuộc Đồ án quy hoạch phân khu (tỷ lệ 1/2.000) Khu thương mại, dịch vụ và dân cư cửa ngõ phía Đông, thành phố Kon Tum</t>
  </si>
  <si>
    <t>UBND Xã Đăk Rơ Wa</t>
  </si>
  <si>
    <t>160-25/02/2025</t>
  </si>
  <si>
    <t>UBND xã Đăk Hà</t>
  </si>
  <si>
    <t>2023-</t>
  </si>
  <si>
    <t>Nâng cấp, mở rộng đường ĐH51 (đường liên xã Kon Đào - Văn Lem)</t>
  </si>
  <si>
    <t>UBND Xã Kon Đào</t>
  </si>
  <si>
    <t>NQ 53-29/4/2021;
36-27/01/2023</t>
  </si>
  <si>
    <t>Nguồn đất 2025 chưa nhập tabmis</t>
  </si>
  <si>
    <t>UBND xã Dục Nông</t>
  </si>
  <si>
    <t>UBND xã Sa Thầy</t>
  </si>
  <si>
    <t>Đường trung tâm phía nam thị trấn Plei Kần</t>
  </si>
  <si>
    <t>UBND xã Bờ Y</t>
  </si>
  <si>
    <t>UBND xã Măng Đen</t>
  </si>
  <si>
    <t>2024-</t>
  </si>
  <si>
    <t>Đường từ Trung tâm thị trấn Đăk Glei đến trung tâm xã Xốp, huyện Đăk Glei</t>
  </si>
  <si>
    <t>UBND xã Đăk Pék</t>
  </si>
  <si>
    <t>Đường từ Quốc lộ 40B huyện Tu Mơ Rông đi thôn 8 xã Đăk Pxi, huyện Đăk Hà (Đoạn qua địa phận huyện Đăk Hà)</t>
  </si>
  <si>
    <t>UBND xã Đăk Pxi</t>
  </si>
  <si>
    <t>Đường từ Quốc lộ 40B huyện Tu Mơ Rông đi thôn 8 xã Đăk Pxi, huyện Đăk Hà (Đoạn qua địa phận huyện Tu Mơ Rông)</t>
  </si>
  <si>
    <t>UBND xã Tu Mơ Rông</t>
  </si>
  <si>
    <t>Nhu cầu chuyển tiếp khi sắp xếp chính quyền địa phương 02 cấp</t>
  </si>
  <si>
    <t>Phường Kon Tum</t>
  </si>
  <si>
    <t>Phường Đăk Cấm</t>
  </si>
  <si>
    <t>Phường Đăk Bla</t>
  </si>
  <si>
    <t>Xã Đăk Rơ Wa</t>
  </si>
  <si>
    <t>UBND Xã Ia Chim</t>
  </si>
  <si>
    <t>UBND Xã Ngọc Bay</t>
  </si>
  <si>
    <t>UBND Xã Đăk Pék</t>
  </si>
  <si>
    <t xml:space="preserve">UBND xã Ia Đal		</t>
  </si>
  <si>
    <t xml:space="preserve">UBND xã Đăk Tô </t>
  </si>
  <si>
    <t>UBND xã Mô Rai</t>
  </si>
  <si>
    <t xml:space="preserve">UBND xã Đăk Pxi </t>
  </si>
  <si>
    <t>Xã Tịnh Khê</t>
  </si>
  <si>
    <t>Xã An Phú</t>
  </si>
  <si>
    <t>Phường Cẩm Thành</t>
  </si>
  <si>
    <t>Phường Nghĩa Lộ</t>
  </si>
  <si>
    <t>Phường Trương Quang Trọng</t>
  </si>
  <si>
    <t>Phường Trà Câu</t>
  </si>
  <si>
    <t>Phường Đức Phổ</t>
  </si>
  <si>
    <t>Phường Sa Huỳnh</t>
  </si>
  <si>
    <t>Xã Khánh Cường</t>
  </si>
  <si>
    <t>Xã Bình Sơn</t>
  </si>
  <si>
    <t>Xã Vạn Tường</t>
  </si>
  <si>
    <t>Xã Đông Sơn</t>
  </si>
  <si>
    <t>Xã Ba Gia</t>
  </si>
  <si>
    <t>Xã Nghĩa Hành</t>
  </si>
  <si>
    <t>Xã Thiện Tín</t>
  </si>
  <si>
    <t>Xã Phước Giang</t>
  </si>
  <si>
    <t>Xã Vệ Giang</t>
  </si>
  <si>
    <t>Xã Nghĩa Giang</t>
  </si>
  <si>
    <t>Xã Tư Nghĩa</t>
  </si>
  <si>
    <t>Xã Long Phụng</t>
  </si>
  <si>
    <t>Xã Mỏ Cày</t>
  </si>
  <si>
    <t>Xã Mộ Đức</t>
  </si>
  <si>
    <t>Xã Lân Phong</t>
  </si>
  <si>
    <t>Xã Ba Dinh</t>
  </si>
  <si>
    <t>Xã Ba Tơ</t>
  </si>
  <si>
    <t>Xã Sơn Hạ</t>
  </si>
  <si>
    <t>Xã Sơn Hà</t>
  </si>
  <si>
    <t>Xã Sơn Tây Thượng</t>
  </si>
  <si>
    <t>Xã Sơn Tây Hạ</t>
  </si>
  <si>
    <t>Xã Sơn Tây</t>
  </si>
  <si>
    <t>Xã Minh Long</t>
  </si>
  <si>
    <t>Xã Sơn Mai</t>
  </si>
  <si>
    <t>Xã Trà Bồng</t>
  </si>
  <si>
    <t>Xã Tây Trà</t>
  </si>
  <si>
    <t>Xã Thanh Bồng</t>
  </si>
  <si>
    <t>Xã Tây Trà Bồng</t>
  </si>
  <si>
    <t>DỰ KIẾN KẾ HOẠCH ĐẦU TƯ CÔNG NĂM 2026 NGUỒN VỐN NGÂN SÁCH ĐỊA PHƯƠNG</t>
  </si>
  <si>
    <t>Nhu cầu Kế hoạch năm 2026</t>
  </si>
  <si>
    <t>Sở Tài chính đề xuất Kế hoạch năm 2026</t>
  </si>
  <si>
    <t>STT</t>
  </si>
  <si>
    <t>Nguồn vốn đầu tư</t>
  </si>
  <si>
    <t>Dự kiến mức vốn theo dự toán thu chi của tỉnh</t>
  </si>
  <si>
    <t>Chênh lệch so với dự toán thu chi</t>
  </si>
  <si>
    <t>TỔNG CỘNG</t>
  </si>
  <si>
    <t>VỐN NGÂN SÁCH ĐỊA PHƯƠNG</t>
  </si>
  <si>
    <t>Chuyển tiếp</t>
  </si>
  <si>
    <t>Đối ứng ODA</t>
  </si>
  <si>
    <t>Khởi công mới</t>
  </si>
  <si>
    <t>Chương trình MTQG</t>
  </si>
  <si>
    <t>-</t>
  </si>
  <si>
    <t>Xây dựng nông thôn mới</t>
  </si>
  <si>
    <t>Giảm nghèo bền vững</t>
  </si>
  <si>
    <t>Phát triển kinh tế - xã hội vùng đồng bào dân tộc thiểu số</t>
  </si>
  <si>
    <t>Tổng nhu cầu Kế hoạch đầu tư công năm 2026</t>
  </si>
  <si>
    <t>5=4-3</t>
  </si>
  <si>
    <t>Danh mục dự án chuyển tiếp sang năm 2026</t>
  </si>
  <si>
    <t>IX</t>
  </si>
  <si>
    <t>X</t>
  </si>
  <si>
    <t>NQ 23-29/4/2021;
676-30/12/2021</t>
  </si>
  <si>
    <t>NQ 27-29/4/2021;
678-30/12/2021</t>
  </si>
  <si>
    <t>NQ 24-29/4/2021;
680-30/12/2021</t>
  </si>
  <si>
    <t>582-04/10/2024</t>
  </si>
  <si>
    <t>583-04/10/2024</t>
  </si>
  <si>
    <t>571-06/9/2024</t>
  </si>
  <si>
    <t>299-21/6/2023</t>
  </si>
  <si>
    <t>(Kèm theo Công văn số         /UBND-KTTH ngày       /7/2025 của UBND tỉnh Quảng Ngãi)</t>
  </si>
  <si>
    <t>Đơn vị: Triệu đồng</t>
  </si>
  <si>
    <t>Danh mục dự án</t>
  </si>
  <si>
    <t xml:space="preserve">Trong đó: </t>
  </si>
  <si>
    <t>Vốn đối ứng</t>
  </si>
  <si>
    <t>Vốn nước ngoài (theo Hiệp định)</t>
  </si>
  <si>
    <t>Tính bằng nguyên tệ</t>
  </si>
  <si>
    <t>Quy đổi ra tiền Việt</t>
  </si>
  <si>
    <t>Đưa vào cân đối NSTW</t>
  </si>
  <si>
    <t>Vay lại</t>
  </si>
  <si>
    <t xml:space="preserve">Dự án Hiện đại hóa thủy lợi thích ứng biến đổi khí hậu </t>
  </si>
  <si>
    <t>Sở Nông nghiệp và Môi trường</t>
  </si>
  <si>
    <t>3,925 triệu USD</t>
  </si>
  <si>
    <t xml:space="preserve">1,722 triệu EUR </t>
  </si>
  <si>
    <t>2019-</t>
  </si>
  <si>
    <t>Đơn vị: triệu đồng</t>
  </si>
  <si>
    <t>TT</t>
  </si>
  <si>
    <t>TÊN DỰ ÁN</t>
  </si>
  <si>
    <t>Thời 
gian
thực 
hiện</t>
  </si>
  <si>
    <t>Quyết định đầu tư</t>
  </si>
  <si>
    <t>Lũy kế vốn bố trí đến năm 2020</t>
  </si>
  <si>
    <t>Kế hoạch trung hạn 2021-2025 đã giao</t>
  </si>
  <si>
    <t>Nhu cầu 2026-2030</t>
  </si>
  <si>
    <t>Số 
Quyết định</t>
  </si>
  <si>
    <t>Tổng mức đầu tư/Dự toán</t>
  </si>
  <si>
    <t>Trong đó: NSĐP</t>
  </si>
  <si>
    <t>Tổng cộng</t>
  </si>
  <si>
    <t>Ủy thác thực hiện chính sách tín dụng ưu đãi thông qua Ngân hàng Chính sách xã hội chi nhánh tỉnh</t>
  </si>
  <si>
    <t>Ngân hàng Chính sách xã hội chi nhánh tỉnh Quảng Ngãi</t>
  </si>
  <si>
    <t>2026-2030</t>
  </si>
  <si>
    <t xml:space="preserve">Bổ sung Vốn điều lệ Quỹ Đầu tư </t>
  </si>
  <si>
    <t>Quỹ đầu tư phát triển tỉnh</t>
  </si>
  <si>
    <t>Đường từ thôn 1 đi thôn 9 xã Ia Tơi</t>
  </si>
  <si>
    <t>NQ 36-29/4/2021</t>
  </si>
  <si>
    <t xml:space="preserve">Đơn vị đề xuất </t>
  </si>
  <si>
    <t>Nhóm dự án (Luật sửa đổi)</t>
  </si>
  <si>
    <t>Địa điểm 
xây dựng</t>
  </si>
  <si>
    <t>Năng lực 
thiết kế</t>
  </si>
  <si>
    <t>Sự cần thiết đầu tư</t>
  </si>
  <si>
    <t>Dự kiến thời 
gian
thực 
hiện</t>
  </si>
  <si>
    <t>Khái toán tổng mức đầu tư</t>
  </si>
  <si>
    <t>Luỹ kế vốn đã bố trí đến hết kế hoạch năm 2025</t>
  </si>
  <si>
    <t>Dự kiến kế hoạch giai đoạn 2026 - 2030</t>
  </si>
  <si>
    <t>So với nguồn</t>
  </si>
  <si>
    <t>Tổng</t>
  </si>
  <si>
    <t>Tổng trung ương</t>
  </si>
  <si>
    <t>NS tỉnh</t>
  </si>
  <si>
    <t>ĐP</t>
  </si>
  <si>
    <t>Lệch so vơi phân bổ</t>
  </si>
  <si>
    <t>TW</t>
  </si>
  <si>
    <t xml:space="preserve">TMĐT NSĐP đc chuyển tiếp  </t>
  </si>
  <si>
    <t>phải cắt</t>
  </si>
  <si>
    <t>dương là k cắt</t>
  </si>
  <si>
    <t>Đối ứng danh mục sử dụng vốn NSTW của tỉnh</t>
  </si>
  <si>
    <t>a</t>
  </si>
  <si>
    <t>Lĩnh vực giao thông</t>
  </si>
  <si>
    <t xml:space="preserve">Đầu tư cải tạo, nâng cấp các đoạn còn lại từ Km32 - Km89+513, Quốc lộ 24 </t>
  </si>
  <si>
    <t>Kon Plông, Ba Tơ</t>
  </si>
  <si>
    <t>57,5Km</t>
  </si>
  <si>
    <t>Đầu tư vào cấp theo quy hoạch, tăng cường kết nối vùng, phục vụ nhu cầu đi lại của người Dân</t>
  </si>
  <si>
    <t>Đầu tư nâng cấp, mở rộng Quốc lộ 24C đoạn Km0-Km6+200</t>
  </si>
  <si>
    <t>Vạn Tường</t>
  </si>
  <si>
    <t>6,2Km</t>
  </si>
  <si>
    <t>Từng bước hoàn thiện hệ thống hạ tầng giao thông trên địa bàn, góp phần thúc đẩy phát triển kinh tế - xã hội và đảm bảo an ninh quốc phòng, trật tự an toàn xã hội trên địa bàn</t>
  </si>
  <si>
    <t xml:space="preserve">Đầu tư cải tạo, nâng cấp các đoạn còn lại từ Km187+800 - Km204+500, Quốc lộ 40B </t>
  </si>
  <si>
    <t>Kon Đào, Đăk Tô</t>
  </si>
  <si>
    <t>16,7Km</t>
  </si>
  <si>
    <t>Đường giao thông kết nối Quốc lộ 24 – Đường Hồ Chí Minh - Quốc lộ 14C - Quốc lộ 40</t>
  </si>
  <si>
    <t>Kon Tum, Đăk Cấm, Ngok Bay, Sa Bình, Sa Thầy, Rờ Kơi, Sa Loong, Bờ Y</t>
  </si>
  <si>
    <t>53Km</t>
  </si>
  <si>
    <t>Đường ven biển Dung Quất - Sa Huỳnh, giai đoạn III (đoạn Km82 - Km125)</t>
  </si>
  <si>
    <t>Ban QLDA ĐTXD các CTGT tỉnh</t>
  </si>
  <si>
    <t>Các phường: Trà Câu, Đức Phổ, Khánh Cường và Sa Huỳnh</t>
  </si>
  <si>
    <t>L=40Km</t>
  </si>
  <si>
    <t>Nhằm hoàn thiện tuyến đường ven biển theo quy hoạch đã được duyệt, đảm bảo giao thông thuận lợi, phát huy hiệu quả đối với các đoạn tuyến đã đầu tư, tạo động lực phát triển kinh tế xã hội khu vực và quốc phòng, an ninh</t>
  </si>
  <si>
    <t>2026-2029</t>
  </si>
  <si>
    <t>Cầu và đường ĐT.623B (Quảng Ngãi - Thạch Nham), đoạn qua đập Thạch Nham</t>
  </si>
  <si>
    <t>Xã: Trà Giang, Trường Giang,  Sơn Hạ</t>
  </si>
  <si>
    <t xml:space="preserve"> L= 2,272Km</t>
  </si>
  <si>
    <t>Đảm bảo giao thông được thông suốt trong mùa mưa, lũ; phục vụ cứu hộ, cứu nạn; kết nối các huyện Tư Nghĩa, Sơn Tịnh, Sơn Hà phục vụ phát triển kinh tế - xã hội của các địa phương</t>
  </si>
  <si>
    <t>Đường nối từ Quốc lộ 1 (nút giao đường dẫn cao tốc Đà Nẵng - Quảng Ngãi) đến đường ven biển Dung Quất - Sa Huỳnh</t>
  </si>
  <si>
    <t>Xã An Phú, xã Tư Nghĩa</t>
  </si>
  <si>
    <t xml:space="preserve"> L= 7,7Km</t>
  </si>
  <si>
    <t xml:space="preserve"> Đảm bảo giao thông kết nối thông suốt từ đường cao tốc phía Đông sang Quốc lộ 1 và kết nối xuống đường ven biển Dung Quất - Sa Huỳnh, qua các khu đô thị  mới của thành phố Quảng Ngãi và huyện Tư Nghĩa phục vụ phát triển kinh tế - xã hội </t>
  </si>
  <si>
    <t>Đường vành đai VD1A (từ đường Duy Tân đến đường Phan Đình Phùng)</t>
  </si>
  <si>
    <t>Ban QLDA ĐTXD các CT GT, DD &amp;CN</t>
  </si>
  <si>
    <t>2,2km</t>
  </si>
  <si>
    <t>Từng bước đầu tư hình thành tuyến đường vành đai VD1A để kết nối các khu vực chức năng, tạo quỹ đất và kiểm soát không gian phát triển đô thị, đáp ứng nhu cầu phát triển trước mắt và lâu dài của khu vực.</t>
  </si>
  <si>
    <t>2027-</t>
  </si>
  <si>
    <t>Đường vành đai VD1B (từ đườngPhan Đình Giót hiện trạng đến đường ĐT 671)</t>
  </si>
  <si>
    <t>2,6km</t>
  </si>
  <si>
    <t>Đường vành đai VD3</t>
  </si>
  <si>
    <t>Các Xã Đăk Rơ Wa, IA Chim, Ngọk Bay</t>
  </si>
  <si>
    <t>33km</t>
  </si>
  <si>
    <t xml:space="preserve">Từng bước đầu tư hình thành tuyến đường vành đai VD3 để hình thành vùng không gian từ đường trục chính phía Tây đến đường VD3, kết nối các khu vực phát triển các động lực kinh tế như nông nghiệp, công nghiệp và du lịch. Góp phần hoàn thiện hệ thống hạ tầng kỹ thuật để nâng cao đời sống người dân tại khu vực ngoại ô </t>
  </si>
  <si>
    <t>Đường giao thông kết nối khu vực phía Bắc cầu treo Kon Klo đi Quốc lộ 24</t>
  </si>
  <si>
    <t>Phường Kon Tum, xã Đăk Rơ Wa</t>
  </si>
  <si>
    <t>4,37km</t>
  </si>
  <si>
    <t>Kết nối trung tâm đô thị với các xã, khai thác các tiềm năng về vị trí, điều kiện địa hình và cảnh quan để hình thành các khu du lịch với các tính chất, chức năng khu nghỉ dưỡng, thể thao, vui chơi giải trí, dịch vụ thương mại, chăm sóc sức khỏe và trải nghiệm văn hóa. Góp phần phát triển hạ tâng giao thông theo đồ án quy hoạch thành phố đên 2040 đã được duyêt</t>
  </si>
  <si>
    <t>Đường giao thông kết nối đường Hồ Chí Minh với Tỉnh lộ 676 (Quốc lộ 24D)</t>
  </si>
  <si>
    <t>các xã Đăk Mar, Đăk Ui, Đăk Kôi, Măng Đen</t>
  </si>
  <si>
    <t>55km</t>
  </si>
  <si>
    <t>Tạo hành lang kết nối đường Hồ Chí Minh với Tỉnh lộ 676; Tạo điều kiện phát triển phát triển nông nghiệp, công nghiệp, thương mại, dịch vụ và du lịch; góp phần chuyển dịch cơ cấu kinh tế, tạo ra quan hệ hỗ trợ, kích thích phát triển giữa kinh tế giữa các địa phương trên tuyến hành lang với các vùng khác.</t>
  </si>
  <si>
    <t>Đường giao thông kết nối Quốc lộ 24 – Quốc lộ 1A - Khu du lịch sinh thái quốc gia Măng Đen - Đường Hồ Chí Minh - Quốc lộ 14C - Quốc lộ 40</t>
  </si>
  <si>
    <t>Các xã Sa Thầy, Rờ Kơi, Sa Loong, Bờ Y</t>
  </si>
  <si>
    <t>143,5km</t>
  </si>
  <si>
    <t>Góp phần hoàn thiện Quốc lộ 24 theo đồ án quy hoạch đã được phê duyệt, tạo sức lan tỏa lớn, có tính kết nối liên vùng. Hình thành hành lang kinh tế đông tây kết nối hạ tầng giao thông với Khu kinh tế cửa khẩu quốc tế Bờ Y là khu kinh tế động lực trong tam giác phát triển ba nước Việt Nam - Lào - Campuchia; phát triển tổng hợp, đa ngành, đa lĩnh vực với hệ thống cơ sở hạ tầng đồng bộ, hiện đại; có vị trí quan trọng về quốc phòng, an ninh</t>
  </si>
  <si>
    <t>Đường Tỉnh lộ 680 (đoạn từ đường Hồ Chí Minh đến đườngTrường Sơn Đông)</t>
  </si>
  <si>
    <t>Các xã Đăk Hà, Ngọk Réo, Đăk Kôi, xã Măng Đen</t>
  </si>
  <si>
    <t>104km</t>
  </si>
  <si>
    <t>Kết nối Trung tâm đô thị khu vực xung quanh phường Kon Tum với các xã xung quanh Khu du lịch Men Đăng (kết nối đường Hồ Chí Minh  - Tỉnh lộ 671 - Tỉnh lộ 675 - Quốc lộ 24 - Tỉnh lộ 677 - Tỉnh lộ 676 - Đường Trường Sơn Đông). Kết hợp với đường Trường Sơn Đông (đoạn qua xã Ngọc Tem cũ), Quốc lội 24B (tỉnh quảng ngãi cũ) hình thành hành lang kinh tế đông tây kết nối Quốc lộ 1A với QL 14 nhằm thúc đẩy phát triển nông, lâm nghiệp với khu vực tuyến đi qua.</t>
  </si>
  <si>
    <t>b</t>
  </si>
  <si>
    <t>Lĩnh vực nông nghiệp, lâm nghiệp, diêm nghiệp, thủy lợi và thủy sản</t>
  </si>
  <si>
    <t>Khu neo đậu tránh trú bão cho tàu cá kết hợp Cảng cá Cổ Lũy thuộc xã An Phú (giai đoạn 2)</t>
  </si>
  <si>
    <t>-Sở Nông nghiệp và Môi trường
- BQLDA ĐTXD các công trình NN &amp; PTNT tỉnh: BQL ĐTXD các CT GT</t>
  </si>
  <si>
    <t>350m đê và hạ tầng</t>
  </si>
  <si>
    <t>Hoàn thiện Khu neo đậu tránh trú bão cho tàu cá kết hợp Cảng cá Cổ Lũy thuộc xã An Phú</t>
  </si>
  <si>
    <t>2026 - 2030</t>
  </si>
  <si>
    <t>220.000</t>
  </si>
  <si>
    <t>20.000</t>
  </si>
  <si>
    <t>200.000</t>
  </si>
  <si>
    <t>Nghị Quyết 50/NQ-HĐND ngày 27/9/2024</t>
  </si>
  <si>
    <t>c</t>
  </si>
  <si>
    <t>Lĩnh vực Y tế</t>
  </si>
  <si>
    <t>Bệnh viện Đa khoa tỉnh (hạng mục: Nhà nghỉ cho người nhà bệnh nhân, Nhà để xe và các hạng mục phụ trợ)</t>
  </si>
  <si>
    <t>BQLDA ĐTXD các công trình DD&amp;CN tỉnh</t>
  </si>
  <si>
    <t xml:space="preserve">Xây dựng mới </t>
  </si>
  <si>
    <t>Giải quyết tình trạng quá tải người nuôi bệnh; đáp ứng đủ các điều kiện tối thiểu để nghỉ ngơi, phần nào khích lệ tinh thần giúp bệnh nhân có thêm động lực trong công tác điều trị bệnh</t>
  </si>
  <si>
    <t>Bệnh viện Sản - Nhi tỉnh (hạng mục: mở rộng bệnh viện Sản - Nhi; nâng cấp, cải tạo một số khoa, phòng, Sửa Cải tạo hệ thống PCCC và các hạng mục phụ trợ)</t>
  </si>
  <si>
    <t>Xây dựng mới và nâng cấp, cải tạo các hạng mục</t>
  </si>
  <si>
    <t>Đáp ứng nhu cầu khám chữa bênh cho nhân đân trong tỉnh, tạo điều kiện thuận lợi cho người dân tiếp cận các dịch vụ y tế có chất lượng cao, góp phần chung vào chương trình chăm sóc sức khỏe bà mẹ và trẻ em quốc gia</t>
  </si>
  <si>
    <t>Dự án đầu tư thiết bị y tế và thiết bị văn phòng cho các cơ sở y tế trên địa bàn tỉnh Quảng Ngãi</t>
  </si>
  <si>
    <t>Các cơ sở y tế trên địa bàn tỉnh</t>
  </si>
  <si>
    <t>Đầu tư mới trang thiết bị</t>
  </si>
  <si>
    <t>d</t>
  </si>
  <si>
    <t>Lĩnh vực Giáo dục và Đào tạo</t>
  </si>
  <si>
    <t>Dự án đầu tư xây dựng cơ sở vật chất thuộc Đề án xây dựng, phát triển trung tâm giáo dục quốc phòng và an ninh Trường Đại học Phạm Văn Đồng đến năm 2030, tầm nhìn đến năm 2045</t>
  </si>
  <si>
    <t>Trường ĐH Phạm Văn Đồng</t>
  </si>
  <si>
    <t>Hoàn thiện đề án được phê duyệt</t>
  </si>
  <si>
    <t>Dự án Đầu tư, cải tạo các công
trình phục vụ người học, nhà giáo
và mua sắm bổ sung thiết bị
Trường Cao đẳng Kon Tum giai
đoạn 2026-2030</t>
  </si>
  <si>
    <t>Trường Cao đẳng Kon Tum</t>
  </si>
  <si>
    <t>Phường Kon Tum, phường Đắk Cấm, phường Đăk Bla</t>
  </si>
  <si>
    <t>Đầu tư xây dựng,
cải tạo, sửa chữa,
nâng cấp các hạng
mục cơ sở vật chất
Mua sắm phương
tiện, thiết bị</t>
  </si>
  <si>
    <t>Đầu tư xây dựng, cải tạo,
sửa chữa, nâng cấp các
hạng mục cơ sở vật chất;
mua sắm phương tiện,
thiết bị nhằm đáp ứng
các điều kiện cơ bản
phục vụ công tác đào tạo
nguồn nhân lực, bồi
dưỡng, nghiên cứu khoa
học công nghệ và đáp
ứng nhu cầu học tập, rèn
luyện, sinh hoạt</t>
  </si>
  <si>
    <t>e</t>
  </si>
  <si>
    <t>Hạ tầng khu công nghiệp và khu kinh tế</t>
  </si>
  <si>
    <t>Xây dựng hệ thống hạ tầng thu gom, thoát nước và xử lý nước thải tập trung khu vực phía Tây và phía Đông sông Trà Bồng Khu kinh tế Dung Quất</t>
  </si>
  <si>
    <t>Đầu tư hệ thống thu gom và 02 trạm với công suất mỗi trạm là 2.000m3/ngày đêm</t>
  </si>
  <si>
    <t>Đầu tư hoàn thiện và đồng bộ hạ tầng về môi trường trong KCN phía Đông, phía Tây Dung Quất để đáp ứng đầy đủ các quy định tại Khoản 1 Điều 51 Luật Bảo vệ môi trường năm 2020 và nhu cầu của các doanh nghiệp đang hoạt động sản xuất kinh doanh trong KCN</t>
  </si>
  <si>
    <t>Tuyến đường Trì Bình - cảng Dung Quất (giai đoạn 2)</t>
  </si>
  <si>
    <t xml:space="preserve"> L= 8,7Km</t>
  </si>
  <si>
    <t>Kết nối thông suốt từ Cao tốc Bắc Nam, Quốc lộ 1A xuống cảng Dung Quất rất thuận lợi cho việc vận chuyển hàng hoá, đặc biệt trong nhu cầu sắp đến la rất lớn</t>
  </si>
  <si>
    <t>Tuyến đường từ đường Trì Bình - cảng Dung Quất đến đường vào Cảng hàng không Chu Lai</t>
  </si>
  <si>
    <t>Xã Bình Sơn, xã Vạn Tường</t>
  </si>
  <si>
    <t>4,1Km</t>
  </si>
  <si>
    <t>Kết nối giao thông thông suốt tuyến đường cáo tốc Đà Nẵng - Quảng Ngãi - KKT Dung Quất - Sân bay Chu Lai, tạo điều kiện vô cùng thuận lợi trong việc kêu gọi thu hút đầu tư và phục vụ nhu cầu của người dan trong khu vực; đồng thời, từng bước hoàn thiện hệ thống hạ tầng giao thông kết nội KKT Dung Quất với các trung tâm kinh tế lân cận, góp phần thúc đẩy phát triển kinh tế  - xã hội và phát huy tối đa hiệu quả đầu tư từ nguồn NSNN</t>
  </si>
  <si>
    <t>Đường trục Bắc Tịnh Phong - Bình Châu (trục N5)</t>
  </si>
  <si>
    <t>xã Thọ Phong, xã Đông Sơn</t>
  </si>
  <si>
    <t>16,5Km</t>
  </si>
  <si>
    <t>Đây là tuyến đường trục chính đối ngoại của KKT Dung Quất kết nối đường cáo tốc, Quốc lộ 1A đến đường ven biển Dung Quất, Sa Huỳnh, Phân Khu đô thị, công nghiệp, dịch vụ Đông Nam Dung Quất nhằm phát triển quỹ đất 02 bên đường để thu hút đầu tư, phát triển công nghiệp, dô thị, dịch vụ, đồng thời đảm bảo an ninh quốc phòng</t>
  </si>
  <si>
    <t>2027-2030</t>
  </si>
  <si>
    <t>Nâng cấp, mở rộng hệ thống hạ tầng giao thông trên địa bàn KKT Dung Quất (giai đoạn 2)</t>
  </si>
  <si>
    <t>KKT Dung Quất</t>
  </si>
  <si>
    <t>10,0Km</t>
  </si>
  <si>
    <t>Hoàn thiện hệ thống hạ tầng các tuyến đường giao thông và hạ tầng kỹ thuật (vỉa hè, cây xanh, thoát nước dọc, điện chiếu sáng,…) theo quy hoạch, đảm bảo kết nối thông suốt KKT Dung Quất và các khu vực xung quanh, đáp ứng kịp thời nhu cầu vận chuyển hàng hóa, vật tư, vật liệu của các doanh nghiệp trên địa bàn, góp phần tạo điều kiện thuận lợi cho việc thu hút đầu tư, phát triển kinh tế-  xã hội; đồng thời tăng cường công tác đảm bảo an ninh - quốc phòng, an toàn giao thông cho người dân trong khu vực</t>
  </si>
  <si>
    <t>Đường N13 (Đoạn Km7+243 đến ngã tư thị trấn Plei Kần) - Khu kinh tế cửa khẩu quốc tế Bờ Y</t>
  </si>
  <si>
    <t>Cửa khẩu Bờ Y</t>
  </si>
  <si>
    <t>Hoàn thiện hạ tầng KKT cửa khẩu quốc tế Bờ Y theo quy hoạch được duyệt, đáp ứng nhu cầu vận chuyển hàng hóa qua cửa khẩu.</t>
  </si>
  <si>
    <t>g</t>
  </si>
  <si>
    <t>Lĩnh vực văn hóa, Thể thao và Du lịch</t>
  </si>
  <si>
    <t>Dự án Tôn tạo, phục dựng Di tích lịch sử Nhà ngục Kon Tum</t>
  </si>
  <si>
    <t>Sở Văn hoá, Thể thao và Du lịch</t>
  </si>
  <si>
    <t>Tôn tạo di tích</t>
  </si>
  <si>
    <t xml:space="preserve">Bảo quản, tu bổ, phục hồi di tích Quốc gia </t>
  </si>
  <si>
    <t>h</t>
  </si>
  <si>
    <t>Lĩnh vực xã hội</t>
  </si>
  <si>
    <t>Dự án Trung tâm điều dưỡng người có công tỉnh Quảng Ngãi (Giai đoạn 2)</t>
  </si>
  <si>
    <t>Sở Nội vụ</t>
  </si>
  <si>
    <t>Xã Tịnh Khê, tỉnh Quảng Ngãi</t>
  </si>
  <si>
    <t>80 giường điều dưỡng</t>
  </si>
  <si>
    <t>Chăm sóc sức khỏe cho người có công trên địa bàn tỉnh</t>
  </si>
  <si>
    <t>2026-2028</t>
  </si>
  <si>
    <t>i</t>
  </si>
  <si>
    <t>Quốc phòng, an ninh và trật tự an toàn xã hội</t>
  </si>
  <si>
    <t>Rà phá bom mìn trên địa bàn tỉnh Quảng Ngãi</t>
  </si>
  <si>
    <t>Bộ CHQS tỉnh Quảng Ngãi</t>
  </si>
  <si>
    <t>Tỉnh Quảng Ngãi</t>
  </si>
  <si>
    <t>Dự án triển khai nhằm rà, phá bom mìn, vật nổ còn sót lại sau chiến tranh; nhằm bảo đảm an toàn cho Nhân dân trên địa bàn tỉnh Quảng Ngãi</t>
  </si>
  <si>
    <t>2026-2031</t>
  </si>
  <si>
    <t>Bố trí cho các dự án sử dụng vốn NST</t>
  </si>
  <si>
    <t>Đầu tư các cầu còn lại của đường Ngọc Hoàng - Măng Bút - Tu Mơ Rông - Ngọc Linh (đoạn 1)</t>
  </si>
  <si>
    <t>Măng Bút</t>
  </si>
  <si>
    <t>05 cầu</t>
  </si>
  <si>
    <t>Xây dựng mới 05 cầu bê tông thay thế các vị trí ngầm tràn, đảm bảo giao thông an toàn, thông suốt</t>
  </si>
  <si>
    <t>Nâng cấp, mở rộng cảng Sa Kỳ</t>
  </si>
  <si>
    <t>Đông Sơn</t>
  </si>
  <si>
    <t>Kéo dài cầu cảng theo quy hoạch</t>
  </si>
  <si>
    <t>Đảm bảo hạ tầng thiết yếu phục vụ du lịch đảo Lý Sơn, phục vụ phát triển phát triển kinh tế - xã hội khu vực biển, đảo, bảo đảm an ninh – quốc phòng</t>
  </si>
  <si>
    <t>Đầu tư nâng cấp, mở rộng Tỉnh lộ 677</t>
  </si>
  <si>
    <t>Kon Braih, Đăk Kôi</t>
  </si>
  <si>
    <t>28Km</t>
  </si>
  <si>
    <t>Đầu tư Tỉnh lộ 678A</t>
  </si>
  <si>
    <t>Tu Mơ Rông, Kon Đào</t>
  </si>
  <si>
    <t>12Km</t>
  </si>
  <si>
    <t>Đầu tư Tỉnh lộ 671A</t>
  </si>
  <si>
    <t>Đăk Hà,Ngok Bay</t>
  </si>
  <si>
    <t>35Km</t>
  </si>
  <si>
    <t>Tuyến kéo dài đường nối từ cầu Cầu Trà Khúc 3 ra đến Quốc lộ 24C</t>
  </si>
  <si>
    <t>Sơn Tịnh và Bình Sơn</t>
  </si>
  <si>
    <t>Đường phố đô thị cấp II, chiều dài 13,0Km</t>
  </si>
  <si>
    <t>Điểm bắt đầu từ QL.24C tại xã Bình Chương Tuyến bắt đầu từ nút giao tuyến QL24C, xã Bình Chương, huyện Bình Sơn đi theo tuyến đường huyện ĐH.13 huyện Sơn Tịnh đến nút giao cầu Trà Khúc 3 và Quốc lộ 24B</t>
  </si>
  <si>
    <t>2028-2031</t>
  </si>
  <si>
    <t>Đường nối từ Phía Nam cầu Đập Dâng đến nút giao Quốc lộ 1 và đường dẫn cao tốc Đà Nẵng - Quảng Ngãi  (trục dọc D9)</t>
  </si>
  <si>
    <t>Tư Nghĩa và thành phố Quảng Ngãi</t>
  </si>
  <si>
    <t>Đường phố chính đô thị, chiều dài L=7,2Km</t>
  </si>
  <si>
    <t>Kết nối với đường Hoàng Sa - Dốc Sỏi ra sân bay Chu Lai, giảm lưu lượng giao thông cho Quốc lộ 1A, kết nối giao thông thông suốt từ các huyện phía Nam thành phố Quảng Ngãi ra các khu đô thị, khu công nghiệp phía Bắc Quảng Ngãi</t>
  </si>
  <si>
    <t>Hệ thống điện chiếu sáng Quốc lộ 1 (phần còn lại đến giáp ranh tỉnh Bình Định)</t>
  </si>
  <si>
    <t>Thị xã Đức Phổ</t>
  </si>
  <si>
    <t>Chiều dài tuyến khoảng 24km</t>
  </si>
  <si>
    <t>Hoàn thiện hệ thống điện chiếu sáng các tuyến đường trên địa bàn tỉnh, góp phần bảo đảm ATGT, tăng cường an ninh trật tự, bảo vệ tính mạng, tài sản cho người tham gia giao thông trên tuyến QL1; tạo cảnh quan cho các khu vực qua khu dân cư, đô thị và góp phần thúc đẩy phát triển kinh tế, xã hội của địa phương.</t>
  </si>
  <si>
    <t>2026-2027</t>
  </si>
  <si>
    <t>Đường nối từ ĐT.623B đến Km1+322 đường Nghĩa Thuận – Nghĩa Kỳ (ĐH.23C)</t>
  </si>
  <si>
    <t>Huyện Tư Nghĩa</t>
  </si>
  <si>
    <t xml:space="preserve"> nền đường 26m đoạn 477m đầu tuyến; đầu tư nền đường 9m, mặt đường 7m và các công trình hạ tầng trên trến</t>
  </si>
  <si>
    <t>Tuyến đường nối từ ĐT.623B vào khu vực dự án Khu sinh thái, nghỉ dưỡng tắm bùn suối nước nóng Nghĩa Thuận (giai đoạn 2)</t>
  </si>
  <si>
    <t>2027-2029</t>
  </si>
  <si>
    <t>Nâng cấp, mở rộng đường tỉnh ĐT.622C đoạn từ QL1 đến Chợ Đình</t>
  </si>
  <si>
    <t>Huyện Sơn Tịnh và huyện Trà Bồng</t>
  </si>
  <si>
    <t>Đường cấp IV Đồng Bằng; Chiều dài tuyến khoảng 9Km, với quy mô nền đường 9m, mặt đường 7m</t>
  </si>
  <si>
    <t>Kết nối thuận lợi giữa huyện Trà Bồng và các xã phía Tây của huyện Sơn tịnh với KCN VSIP, KCN Tịnh Phong và thành phố Quảng Ngãi</t>
  </si>
  <si>
    <t>Nâng cấp, mở rộng đường tỉnh ĐT.624B (các đoạn còn lại để
đảm bảo kết nối thuận lợi từ QL1 lên đường cao tốc Quảng Ngãi-Hoài Nhơn)</t>
  </si>
  <si>
    <t>Huyện Mộ Đức và huyện Nghĩa Hành</t>
  </si>
  <si>
    <t>Chiều dài khoảng 4,7Km, quy mô nền đường 9m, mặt đường 7m</t>
  </si>
  <si>
    <t>Đoạn tuyến trên đã được Bộ GTVT đưa vào danh mục các tuyến kết nối có nhu cầu cấp thiết, cần đầu tư sớm và đã kiến nghị hỗ trợ từ nguồn NSTW tại Công văn số 4752/BGTVT-KHĐT ngày
06/5/2024</t>
  </si>
  <si>
    <t>Đường dẫn cầu số 01 (đoạn Đào Duy Từ đến Đường bao khu dân cư phía Bắc).</t>
  </si>
  <si>
    <t>0,35km</t>
  </si>
  <si>
    <t>Nhằm góp phần đầu tư đồng bộ, phát huy hiệu quả của dự án cầu số 01 qua sông Đăk Bla, là trục giao thông quan trọng kết nối khu vực trung tâm phường Kon Tum và khu vực phía Nam sông Đăk Bla. Qua đó góp phần từng bước hoàn thiện mạng lưới hạ tầng giao thông đường bộ, khai thác quỹ đất để phát triển kết cấu hạ tầng, mở rộng không gian đô thị, thúc đẩy phát triển kinh tế - xã hội, đảm bảo quốc phòng, an ninh</t>
  </si>
  <si>
    <t>Đường Hoàng Diệu nối dài (Phường Kon Tum).</t>
  </si>
  <si>
    <t>0,7km</t>
  </si>
  <si>
    <t>Từng bước đầu tư hoàn thành các công trình hạ tầng tại trung tâm đô thị, hoàn thiện theo các tiêu chí đô thị xanh, thông minh.</t>
  </si>
  <si>
    <t>217,69m; đường 2 đầu cầu 492,78m</t>
  </si>
  <si>
    <t xml:space="preserve"> Từng bước hoàn thiện mạng lưới giao thông và hạ tầng kỹ thuật đô thị  xã Vệ Giang theo quy hoạch được duyệt.  Góp phần tạo quỹ đất mới để phát triển nhà ở, dịch vụ thương mại, và cơ sở hạ tầng công cộng</t>
  </si>
  <si>
    <t>2026-3030</t>
  </si>
  <si>
    <t>Đã hoàn thành công tác CBĐT</t>
  </si>
  <si>
    <t>Đường Bùi Thị Xuân nối dài (đoạn từ đường Nguyễn Ngọc Lê  đến đường ĐH.27B)</t>
  </si>
  <si>
    <t>Ban Quản lý dự án ĐTXD các công trình DD&amp;CN tỉnh</t>
  </si>
  <si>
    <t>xã Vệ Giang</t>
  </si>
  <si>
    <t>Tổng chiều dài L=915m; 
+ Đoạn đầu tuyến 232m: nền đường 17,5m; mặt đường 10,5m; vỉa hè 2x3,5m
+ Đoạn sau 683m: nền đường 20,5m; mặt đường 10,5m; vỉa hè 2x5m</t>
  </si>
  <si>
    <t>Đường trục chính phía Tây Tư Nghĩa (đoạn từ đường dẫn cao tốc đến đường tỉnh ĐT.628)</t>
  </si>
  <si>
    <t>Xã Tư Nghĩa và xã Vệ Giang</t>
  </si>
  <si>
    <t>Chiều dài tuyến L=3,15 km, Bề rộng nền Bn=32m</t>
  </si>
  <si>
    <t>Để từng bước hoàn chỉnh hệ thống hạ tầng kỹ thuật, mở rộng không gian đô thị, góp phần làm tăng tốc độ đô thị hoá, phát triển kinh tế - xã hội, tạo điều kiện thúc đẩy chuyển dịch cơ cấu, phát triển kinh tế xã hội của xã Tư Nghĩa và xã Vệ Giang  nói riêng và tỉnh Quảng Ngãi nói chung.</t>
  </si>
  <si>
    <t>Đường Cầu Trà Khúc 3 nối dài đến đường La Hà – Nghĩa Thuận (ĐH.24)</t>
  </si>
  <si>
    <t>Chiều dài tuyến L=1,9 km, Bề rộng nền Bn=26m</t>
  </si>
  <si>
    <t>Để từng bước hoàn thiện các đồ án quy hoạch được duyệt, cơ sở hạ tầng kỹ thuật, mở rộng không gian đô thị, góp phần làm tăng tốc độ đô thị hoá, phát triển kinh tế - xã hội, tạo điều kiện thúc đẩy chuyển dịch cơ cấu, phát triển kinh tế xã hội của xã Nghĩa Giang nói riêng và tỉnh Quảng Ngãi nói chung</t>
  </si>
  <si>
    <t>Đường cụm công nghiệp La Hà - Đường huyện ĐH.28 (Giai đoạn 2)</t>
  </si>
  <si>
    <t>Đoạn 1: Km0 -:- Km0+507,27; L=507,27m; B=10,5m+2*5,25m = 21m; Hạng mục: Nền mặt đường + bó vỉa, vỉa hè, cây xanh, thoát nước mưa, thủy lợi
Đoạn 2: Km507,27 -:- Km1+279,32; L=772,05m; B=10,5m+2*5,25m = 21m; Hạng mục: Bó vỉa, vỉa hè, cây xanh, thoát nước mưa</t>
  </si>
  <si>
    <t>Hoàn thiện mạng lưới giao thông theo quy hoạch đã được phê duyệt; Phân luồng, giảm áp lực giao thông lên QL1A; Tạo điều kiện thuận lợi cho việc đi lại, vận chuyển hàng hóa của nhân dân; phát huy hiệu quả của nguồn vốn đã đầu tư</t>
  </si>
  <si>
    <t>Đường trục chính phía tây thị trấn La Hà (đoạn nối dài đến tuyến đường dẫn vào đường cao tốc Đà Nẵng – Quảng Ngãi)</t>
  </si>
  <si>
    <t xml:space="preserve">Đoạn: Km1+255 -:- Km2+210,64
- L=985,64m
- B=7,5m*2+2m+7,5m*2 = 32m
- Hạng mục: Nền mặt đường + bó vỉa, thoát nước ngang, vỉa hè, cây xanh, thoát nước mưa, thoát nước thải, hào kỹ thuật, điện chiếu sáng, cấp nước&amp;PCCC
</t>
  </si>
  <si>
    <t>Tạo điều kiện để phát triển kinh tế xã Tư Nghĩa về phía tây; Hoàn thiện hệ thống giao thông đường đô thị đúng quy hoạch của xã; Hạn chế ngập lụt vào mùa mưa lũ, kịp thời cứu trợ khi có thiên tai, bão lũ xảy ra</t>
  </si>
  <si>
    <t>Mở rộng đường vào di tích chùa ông</t>
  </si>
  <si>
    <t xml:space="preserve"> Tổng chiều dài tuyến thiết kế L= 455,5m (gồm tuyến chính dài 291,7m và tuyến nhánh dài 163,8m). Loại, cấp công trình: Công trình giao thông, cấp IV. Cấp đường: Cấp V đồng bằng (TCVN 4054-2005).</t>
  </si>
  <si>
    <t>Từng bước hoàn thiện mạng lưới giao thông của xã, góp phần vào công cuộc xây dựng nông thôn mới, phát triển du lịch của địa phương, nâng cao giá trị sản phẩm phát triển du lịch của địa phương, đáp ứng về hạ tầng mạng lưới giao thông giao thông của huyện nông thôn mới, tạo động lực phát triển kinh tế, du lịch và dịch vụ cho xã Tư Nghĩa trong đó có phát triển du lịch tâm linh chùa Ông. Góp phần tạo điều kiện cho việc quản lý chính quyền, giữ vững trật tự an toàn xã hội, đảm bảo ổn định chính trị, an ninh, quốc phòng</t>
  </si>
  <si>
    <t>Đương Nghĩa Kỳ - Quảng Phú (giai đoạn 1)</t>
  </si>
  <si>
    <t>Công trình giao thông cấp III; Chiều dài L=1.708m; Bề rộng nền đường Bn=9m</t>
  </si>
  <si>
    <t>Nhằm cải thiện tình hình đi lại, đảm bảo an toàn, giải
quyết ách tắc giao thông, nâng cao hiệu quả khai thác.</t>
  </si>
  <si>
    <t>Cầu Suối Tía 3 và đường hai đầu cầu</t>
  </si>
  <si>
    <t>Cầu 72m và đường 2 đầu cầu</t>
  </si>
  <si>
    <t>Đảm bảo giao thông thông suốt, phát huy tính hiệu quả của tuyến đường kết nối các vùng dân cư dọc hai bên sông</t>
  </si>
  <si>
    <t>Cầu Cà Xen và đường hai đầu cầu</t>
  </si>
  <si>
    <t>Cầu 54m và đường 2 đầu cầu</t>
  </si>
  <si>
    <t>Đảm bảo giao thông thông suốt,kịp thời cứu trợ khi có thiên tai bão lũ xảy ra</t>
  </si>
  <si>
    <t>Đường Long Môn đi Sơn Cao, Sơn Hà (giai đoạn 2)</t>
  </si>
  <si>
    <t>Hệ thống rãnh dọc và cầu</t>
  </si>
  <si>
    <t>Chống xói lở nền đường và kết nối giao thông toàn tuyến</t>
  </si>
  <si>
    <t>Đường Biều Qua Long Sơn đi Hành Thiện, Nghĩa Hành</t>
  </si>
  <si>
    <t>Chiều dài tuyến L=3000m</t>
  </si>
  <si>
    <t>kết nối giao thông và giao thương giữa hai vùng</t>
  </si>
  <si>
    <t>Cầu Làng Trúi-Lạc Hạ (Long Mai qua Long Sơn)</t>
  </si>
  <si>
    <t>Cầu 120m và đường 2 đầu cầu</t>
  </si>
  <si>
    <t>2028-2030</t>
  </si>
  <si>
    <t>Cầu Suối Lớn</t>
  </si>
  <si>
    <t>Cầu 96m và đường 2 đầu cầu</t>
  </si>
  <si>
    <t>Đường Làng Ren-Sơn Ba</t>
  </si>
  <si>
    <t>Chiều dài tuyến L=2500m</t>
  </si>
  <si>
    <t>Đường Làng Mum-Cà xen</t>
  </si>
  <si>
    <t>Cầu và đường 2 đầu cầu</t>
  </si>
  <si>
    <t>Tuyến đường huyện đội đi Hóc Chố</t>
  </si>
  <si>
    <t>Tổng chiều dài tuyến L=800m</t>
  </si>
  <si>
    <t xml:space="preserve">Từng bước hoàn thiện hệ thống giao thông và hạ tầng kỹ thuật trong khu vực </t>
  </si>
  <si>
    <t>Các tuyến đường nội bộ giáp với trung tâm đô thị mới Minh Long</t>
  </si>
  <si>
    <t>Chiều dài các tuyến L=2000m</t>
  </si>
  <si>
    <t>Từng bước hoàn thiện hệ thống giao thông và hạ tầng kỹ thuật trong khu đô thị trong khu vực trung tâm xã</t>
  </si>
  <si>
    <t>Các tuyến đường nội bộ trung tâm xã Sơn Mai</t>
  </si>
  <si>
    <t>Chiều dài các tuyến L=1500m</t>
  </si>
  <si>
    <t>Đường Làng Ren đi Ba Điền, Ba Tơ</t>
  </si>
  <si>
    <t>Chiều dài tuyến L=3500m</t>
  </si>
  <si>
    <t>Đường từ Hồ chứa nước Biều Qua đến hồ chứa nước Hố Cả</t>
  </si>
  <si>
    <t>Chiều dài tuyến L=5000m</t>
  </si>
  <si>
    <t>Cầu qua đập đồng thép đi Hành Nhân</t>
  </si>
  <si>
    <t>Cầu Làng Trỗi</t>
  </si>
  <si>
    <t>Nâng cấp mở rộng cầu Long Mai</t>
  </si>
  <si>
    <t>Cầu và đường 2 đầu cầu L=200m</t>
  </si>
  <si>
    <t>Đảm bảo giao thông thông suốt, kết nối các trục giao thông của các đường tỉnh lộ</t>
  </si>
  <si>
    <t>Nâng cấp mở rộng đường Yên Ngựa-Gò Nay</t>
  </si>
  <si>
    <t>Chiều dài tuyến L=4500m</t>
  </si>
  <si>
    <t>Đảm bảo giao thông thông suốt trong vùng</t>
  </si>
  <si>
    <t>Đường Ba Tơ đi thôn Cây Muối xã Ba Trang</t>
  </si>
  <si>
    <t>xã Đặng Thùy Trâm</t>
  </si>
  <si>
    <t>Giao thông vận tải là cơ sở ban đầu, tạo tiền đề để xây dựng hạ tầng nhằm thu hút vốn đầu tư từ nhiều nguồn khác nhau để phát triển, mở mang ngành nghề, giải quyết việc làm cho người lao động, mở rộng các khu dân cư, góp phần thực hiện nâng cao cơ cấu kinh tế, đời sống cán bộ và nhân dân trong khu vực. Khai thác có hiệu quả tiềm năng đất đai nông lâm nghiệp, từng bước cải thiện đời sống vật chất và tinh thần của nhân dân trong vùng.
Huyện Ba Tơ là cửa ngõ lưu thông hàng hóa với các huyện Đức Phổ, huyện Minh Long, huyện Sơn Hà và huyện Nghĩa Hành. Để đảm bảo cho sự phát triển được ổn định và nhịp nhàng, việc đầu tư xây dựng cơ sở hạ tầng là rất cần thiết và cấp bách, trong đó phải kể đến về hạ tầng giao thông. Mặt khác khi tuyến đường hình thành sẽ tạo điều kiện thuận lợi về giao thông cho nhân dân hai huyện Ba Tơ, tỉnh Quảng Ngãi và huyện An Lão, tỉnh Bình Định, trao đổi giao lưu về mọi mặt: Kinh tế, văn hóa, chính trị.... được thuận lợi.</t>
  </si>
  <si>
    <t>Cầu Sông Liên (Cầu Hang Én)</t>
  </si>
  <si>
    <t>xã Ba Tơ</t>
  </si>
  <si>
    <t>Cầu, đường đầu cầu và hệ thống hạ tầng kỹ thuật</t>
  </si>
  <si>
    <t>Kết nối giao thông thuận lợi, thông suốt giữa hai khu vực phía Bắc (xã Ba Chùa cũ) và phía Nam Sông Liên xã Ba Tơ, mở rộng không gian đô thị và phát triển quỹ đất, đáp ứng nguyện vọng chính đáng của cử tri Ba Tơ</t>
  </si>
  <si>
    <t>Cầu Sông re</t>
  </si>
  <si>
    <t>xã Ba Vì</t>
  </si>
  <si>
    <t>Khi dự án được đầu tư sẽ giúp cho việc đi lại, học hành và vận chuyển hàng hóa của nhân dân được thuận lợi. Việc đầu tư xây dựng công trình trên là hoàn toàn phù hợp với quy hoạch tổng thể phát triển kinh tế - xã hội của huyện Ba Tơ. Tạo tiền đề cho việc phát triển kinh tế xã hội, khai thác tài nguyên hợp lý, bảo vệ môi trường, tăng cường quốc phòng, an ninh, giữ vững ổn định chính trị, trật tự an toàn xã hội, ứng cứu kịp thời khi có thiên tai địch họa xảy ra, nhất là việc tiếp tế lương thực, thẩm phẩm và thuốc men trong mùa mưa lũ cho người dân được kịp thời. Thực hiện giảm nghèo bền vững và nhằm nâng cao đời sống cho Nhân dân</t>
  </si>
  <si>
    <t>Nâng cấp, mở rộng đường Phạm Văn Đắp</t>
  </si>
  <si>
    <t>265m</t>
  </si>
  <si>
    <t>Nhằm đảm bảo nhu cầu đi lại, lưu thông hàng hóa, từng bước chỉnh trang đô thị.</t>
  </si>
  <si>
    <t>Đường vào Hồ Tôn Dung</t>
  </si>
  <si>
    <t>750m</t>
  </si>
  <si>
    <t>Nhằm đảm bảo nhu cầu đi lại, lưu thông hàng hóa, từng bước chỉnh trang đô thị, tạo điều kiện phát triển du lịch khu vực Hồ Tôn Dung,  góp phần thức đẩy phát triển kinh tế, xã hội của địa phương</t>
  </si>
  <si>
    <t>Cầu Phú Thọ</t>
  </si>
  <si>
    <t>xã Thiện Tín, tỉnh Quảng Ngãi</t>
  </si>
  <si>
    <t>Chiều dài cầu L=24m x2 =48m; Khổ cầu 9,0m; đường đầu cầu 500m, kết cấu BTXM</t>
  </si>
  <si>
    <t>Hệ thống điện chiếu sáng ĐT.628 (bao gồm nhánh rẽ vào cầu Hành Dũng-Hành Nhân)</t>
  </si>
  <si>
    <t>xã Đình Cương, xã Nghĩa Hành, xã Phước Giang</t>
  </si>
  <si>
    <t>Tổng chiều dài, L=16km, đèn LED</t>
  </si>
  <si>
    <t>Cầu Bến Đá, và đường 2 đầu cầu tuyến ĐT,624 (Quảng Ngãi-Ba Động)</t>
  </si>
  <si>
    <t>xã Nghĩa Hành, tỉnh Quảng Ngãi</t>
  </si>
  <si>
    <t>L=350m cầu có chiều dài 54m, rộng 16m đường dẫn đầu cầu rộng 10,5m</t>
  </si>
  <si>
    <t>Nâng cấp Sân vận động xã Đình Cương</t>
  </si>
  <si>
    <t>xã Đình Cương</t>
  </si>
  <si>
    <t xml:space="preserve">San nền, Tường rào sân khầu, nhà thi đấu và các HM khác </t>
  </si>
  <si>
    <t>Lát gạch vỉa hè trung tâm xã Nghĩa Hành</t>
  </si>
  <si>
    <t>Chiều dài L=3500m</t>
  </si>
  <si>
    <t>Hệ thống điện chiếu sáng tuyến đương ĐH.50 (Sông Vệ-Phú Lâm)</t>
  </si>
  <si>
    <t>xã Đình Cương, xã Thiện Tín</t>
  </si>
  <si>
    <t>Tổng chiều dài L=14,78km, đèn LED</t>
  </si>
  <si>
    <t>2027-2028</t>
  </si>
  <si>
    <t>Khu dân cư Bắc cầu Kênh xã Nghĩa Hành)</t>
  </si>
  <si>
    <t>S=6,03ha các hạng mục san nền, thoát nước, công trình hạ tầng kỹ thuật cấp III</t>
  </si>
  <si>
    <t>KDC trung tâm xã Nghĩa Hành (phía sau Trung tâm y tế huyện)</t>
  </si>
  <si>
    <t xml:space="preserve">Diện tích  8,6ha, đầu tư hạ tầng đồng bộ theo quy hoạch </t>
  </si>
  <si>
    <t>Nâng cấp, chỉnh trang sân vận động xã và nâng cấp, cải tạo Hồ Đầm Sen</t>
  </si>
  <si>
    <t>xã Nghĩa Hành</t>
  </si>
  <si>
    <t xml:space="preserve">San nền, thoát nước, bải đỗ xe, …nạo vét lòng hồ, đường vào sân vận động </t>
  </si>
  <si>
    <t>Hệ thống điện chiếu sáng tuyến đương ĐH.49 (Ngã ba gò Gai-Đình Cương)</t>
  </si>
  <si>
    <t>Tổng chiều dài L=3,0km, đèn LED</t>
  </si>
  <si>
    <t>2028-2029</t>
  </si>
  <si>
    <t>Đường Lê Quý Đôn ( Đoạn từ đường Lê Lợi đến kênh N6)</t>
  </si>
  <si>
    <t>880m</t>
  </si>
  <si>
    <t>Hoàn thiện hạ tầng kỹ thuật theo quy hoạch, thuận tiện kết nối giao thông và tạo vẽ mỹ quan Đô thị</t>
  </si>
  <si>
    <t>Đường Hoàng Văn Thụ ( Đoạn từ đường Nguyễn Trãi đến Lê Duẩn)</t>
  </si>
  <si>
    <t>1080m</t>
  </si>
  <si>
    <t>Đường Bùi Thị Xuân (đoạn từ đường Lê Văn Sỹ đến đường Nguyễn Đình Chiểu)</t>
  </si>
  <si>
    <t>180m</t>
  </si>
  <si>
    <t>Đường bờ Tây sông Kinh Giang, xã Tịnh Khê</t>
  </si>
  <si>
    <t>2133,41m</t>
  </si>
  <si>
    <t>Đường Trần Khánh Dư (đoạn từ Đinh Tiên Hoàng đến đường Bích Khê).</t>
  </si>
  <si>
    <t>1505m</t>
  </si>
  <si>
    <t>Hệ thống điện chiếu sáng QL1A cũ (đoạn từ Mỏ Cày đến cầu Giắt Dây)</t>
  </si>
  <si>
    <t>Xã Mỏ Cày, xã Mộ Đức</t>
  </si>
  <si>
    <t>L=3,6Km</t>
  </si>
  <si>
    <t>Để hạn chế tai nạn, đảm bảo an toàn giao thông và mỹ quan</t>
  </si>
  <si>
    <t>Sửa chữa, nâng cấp tuyến đường Phước An - Phước Mỹ, xã Mộ Đức</t>
  </si>
  <si>
    <t>L=2,071Km</t>
  </si>
  <si>
    <t>Kết nối giao thông khu vực và theo kiến nghị của cử tri</t>
  </si>
  <si>
    <t>Tuyến Quốc lộ 1A - Đá Bạc (Giai đoạn 2)</t>
  </si>
  <si>
    <t>L=0,96Km</t>
  </si>
  <si>
    <t>Kết nối giao thông, phát triển đô thị</t>
  </si>
  <si>
    <t>Tuyến đường Trường THPT số 2 Mộ Đức - Nghĩa Lập (Giai đoạn 2)</t>
  </si>
  <si>
    <t>L=0,67Km và cầu</t>
  </si>
  <si>
    <t>Nhằm hoàn thiện toàn bộ tuyến Tuyến đường Trường THPT số 2 Mộ Đức - Nghĩa Lập (hiện đã triển khai hoàn thiện  Giai đoạn 1) và đặc biệt là công tác cứu hộ cứu nạn cho các hộ dân dọc theo tuyến đường Bồ Đề - Chợ Vom (đoạn sát sông Vệ) về khu vực an toàn khi mưa lũ</t>
  </si>
  <si>
    <t>Sửa chữa, nâng cấp tuyến đường Biển Minh Tân Bắc - Phước Hòa (ĐH.35)</t>
  </si>
  <si>
    <t>L=7Km</t>
  </si>
  <si>
    <t>Hiện trạng đường thâm nhập nhựa đã xuống cấp</t>
  </si>
  <si>
    <t>Cầu Mương Chảy, xã Mỏ Cày</t>
  </si>
  <si>
    <t>L=15m</t>
  </si>
  <si>
    <t>Hiện trạng cầu hẹp, xuống cấp và đã sửa chữa nhiều lần</t>
  </si>
  <si>
    <t>Tuyến đường Trung tâm đô thị mới Nam Sông Vệ</t>
  </si>
  <si>
    <t>Xã Long Phụng, xã Mỏ Cày</t>
  </si>
  <si>
    <t>L=3,32Km</t>
  </si>
  <si>
    <t>Tuyến đường Đông đô thị mới Thạch Trụ</t>
  </si>
  <si>
    <t>L=5Km</t>
  </si>
  <si>
    <t>Nâng cấp mở rộng tuyến đường Chợ Mới - Tân Phong (đoạn từ Quốc lộ 1 đến đường sắt)</t>
  </si>
  <si>
    <t>L=1,6Km</t>
  </si>
  <si>
    <t xml:space="preserve">Để kết nối đồng bộ  bề rộng mặt đường toàn tuyến và theo kiến nghị của cử tri </t>
  </si>
  <si>
    <t>Tuyến đường Đức Tân (Quẹo Thừa Xuân)- QL24 (đoạn Quẹo Thừa Xuân - Giáp Đường ĐT624C)</t>
  </si>
  <si>
    <t>L=1Km</t>
  </si>
  <si>
    <t>Kết nối giao thông khu vực</t>
  </si>
  <si>
    <t>Tuyến đường Cống Cao - Đá Bàn; hạng mục: nút giao đường sắt (tại lý trình Km 952+535 đường sắt Hà Nội - TPHCM)</t>
  </si>
  <si>
    <t>Cầu vượt qua đường sắt</t>
  </si>
  <si>
    <t>Để đảm bảo an toàn giao thông tại vị trí giao nhau giữa tuyến đường Cống Cao - Đá Bàn và tuyến đường sắt Hà Nội - TPHCM (hiện trạng là lối đi tự mở)</t>
  </si>
  <si>
    <t>Tuyến đường phục vụ nuôi trồng thủy sản liên xã Lân Phong - Mỏ Cày - Long Phụng</t>
  </si>
  <si>
    <t>Xã Long Phụng, xã Mỏ Cày, xã Lân Phong</t>
  </si>
  <si>
    <t>L=14Km</t>
  </si>
  <si>
    <t>Kết nối giao thông phục vụ sản xuất nuôi trồng thủy sản và phát triển kinh tế biển (hiện trang là đường đất)</t>
  </si>
  <si>
    <t>Nâng cấp, sửa chữa tuyến đường Đức Tân - Phổ Phong (Giai đoạn 2)</t>
  </si>
  <si>
    <t>Xã Mộ Đức, xã Lân Phong</t>
  </si>
  <si>
    <t>L=5,4Km</t>
  </si>
  <si>
    <t>Nâng cấp, sửa chữa tuyến đường Lương Nông - Văn Hà</t>
  </si>
  <si>
    <t>Xã Mỏ Cày, xã Lân Phong</t>
  </si>
  <si>
    <t>L=4Km</t>
  </si>
  <si>
    <t>Tuyến đường QL1A (Quẹo Thừa Xuân) - QL24 (đoạn từ Cụm công nghiệp Mộ Đức đến Cụm công nghiệp Thạch Trụ)</t>
  </si>
  <si>
    <t>L=6km và các cầu trên tuyến</t>
  </si>
  <si>
    <t xml:space="preserve">Kết nối giao thông khu vực và giải quyết nhu cầu dân sinh </t>
  </si>
  <si>
    <t>Nâng cấp, mở rộng đường Trần Nam Trung - đường Nguyễn Thiệu</t>
  </si>
  <si>
    <t>L=0,85Km</t>
  </si>
  <si>
    <t>Để đảm bảo mỹ quan đô thị và nhu cầu dân sinh</t>
  </si>
  <si>
    <t>Cầu Văn Hà, xã Lân Phong</t>
  </si>
  <si>
    <t>L=200m</t>
  </si>
  <si>
    <t>Hiện trạng cầu hẹp, xuống cấp và đã cắm biển hạn tế tải trọng</t>
  </si>
  <si>
    <t>Đường Trần Du (đoạn từ đường Nguyễn Bá Loan đến đường Tránh)</t>
  </si>
  <si>
    <t>L=0,82Km</t>
  </si>
  <si>
    <t xml:space="preserve">Kết nối giao thông khu vực và  phát triển đô thị </t>
  </si>
  <si>
    <t>Đường Võ Xuân Hào (đoạn từ đường Phạm Văn Đồng đến đường Trần Du)</t>
  </si>
  <si>
    <t>L=0,19Km</t>
  </si>
  <si>
    <t>Nâng cấp, mở rộng tuyến đường Thiết Trường - Tân An (đoạn từ Ngã 5 Lâm Thượng đến Biển Tân An)</t>
  </si>
  <si>
    <t>L=3,8Km</t>
  </si>
  <si>
    <t>2029-2030</t>
  </si>
  <si>
    <t>Tuyến đường Thạch Trụ - Thạch Thang</t>
  </si>
  <si>
    <t>L=6Km và các cầu trên tuyến</t>
  </si>
  <si>
    <t>Tuyến đường Phước Sơn - Mỏ Cày</t>
  </si>
  <si>
    <t>L=2Km</t>
  </si>
  <si>
    <t>Hiện trạng đường đầu tư đã lâu xuống cấp và chật hẹp</t>
  </si>
  <si>
    <t>Tuyến đường Mạch Điểu - Châu Me (Hành Thịnh)</t>
  </si>
  <si>
    <t>L=0,97Km</t>
  </si>
  <si>
    <t>Tuyến đường Mỹ Khánh - Biển Tân Định</t>
  </si>
  <si>
    <t>L=2,5Km và các cầu trên tuyến</t>
  </si>
  <si>
    <t>Kết nối giao thông khu vực và  phát triển du lịch biển</t>
  </si>
  <si>
    <t>Nâng cấp, mở rộng Tuyến đường Quang Trung (Giai đoạn 2)</t>
  </si>
  <si>
    <t>phường Đức Phổ</t>
  </si>
  <si>
    <t>Khoảng 0,9km</t>
  </si>
  <si>
    <t>đầu tư xây dựng tuyến đường đô thị góp phần thúc đẩy kinh tế địa phương, đảm bảo an ninh quốc phòng</t>
  </si>
  <si>
    <t>Mở rộng, Gia cố lề đường cong, nút giao đảm bảo ATGT các tuyến đường huyện</t>
  </si>
  <si>
    <t>Các xã, phường</t>
  </si>
  <si>
    <t>Khoảng 9km</t>
  </si>
  <si>
    <t>Đảm bảo an toàn giao thông</t>
  </si>
  <si>
    <t xml:space="preserve"> Nâng cấp, mở rộng tuyến đường Phổ Minh - Phổ Văn (đoạn Phổ Văn + Phổ Minh)</t>
  </si>
  <si>
    <t>Khoảng 2km</t>
  </si>
  <si>
    <t>Đầu tư Hạ tầng kỹ thuật tuyến đường Lê Thánh Tôn</t>
  </si>
  <si>
    <t>Khoảng 1200m</t>
  </si>
  <si>
    <t>Từng bước hoàn thiện hạ tầng giao khu đô thị phường Đức Phổ, phát triển các khu dân cư dọc hai bên tuyến đường</t>
  </si>
  <si>
    <t>Đường Huỳnh Công Thiệu nối dài (giai đoạn 2)</t>
  </si>
  <si>
    <t>2250m</t>
  </si>
  <si>
    <t>Nâng cấp, mở rộng tuyến đường dẫn Khu di tích Đặng Thuỳ Trâm</t>
  </si>
  <si>
    <t>Khoảng 2,8km</t>
  </si>
  <si>
    <t xml:space="preserve">nâng cấp mở rộng tuyến đường cũ đã xuống cấp, hoàn thiện các hạng mục thoát nước ngang, thoát nước dọc trên tuyến nhằm phục vụ phát triển du lịch </t>
  </si>
  <si>
    <t xml:space="preserve"> Nâng cấp, mở rộng tuyến đường Phổ Thuận – Phổ Nhơn  (đoạn qua địa bàn xã Phổ Nhơn)</t>
  </si>
  <si>
    <t>xã Nguyễn Nghiêm</t>
  </si>
  <si>
    <t>Khoảng 1km</t>
  </si>
  <si>
    <t>2027-2038</t>
  </si>
  <si>
    <t>Nâng cấp, mở rộng tuyến Đường Đức Phổ -Phổ Khánh (ĐH.47) (các đoạn còn lại)</t>
  </si>
  <si>
    <t>Phường Đức Phổ, xã Khánh Cường</t>
  </si>
  <si>
    <t>Khoảng 5km</t>
  </si>
  <si>
    <t>Đường từ trường Tiểu học Phổ Văn (cũ) đi trường Lương Thế Vinh (giai đoạn 1)</t>
  </si>
  <si>
    <t>Khoảng 1,1km</t>
  </si>
  <si>
    <t>Đầu tư tuyến giảm tải tuyến đường ĐH42C, đảm bảo an toàn cho học sinh</t>
  </si>
  <si>
    <t>Đường Xô Viết Nghệ Tĩnh (giai đoạn 2)</t>
  </si>
  <si>
    <t>Khoảng 320m</t>
  </si>
  <si>
    <t>Đầu tư theo quy hoạch được duyệt</t>
  </si>
  <si>
    <t>Nâng cấp, mở rộng tuyến đường đi khu du lịch sinh thái đầm An Khê</t>
  </si>
  <si>
    <t>xã Khánh Cường</t>
  </si>
  <si>
    <t>Khoảng 1,5km</t>
  </si>
  <si>
    <t>Tịnh Hà - Tịnh Bắc (ĐH.14)</t>
  </si>
  <si>
    <t>Xã Sơn Tịnh-Ba Gia</t>
  </si>
  <si>
    <t>Nối dài tuyến Ba Gia - An Điềm
qua Tịnh Minh</t>
  </si>
  <si>
    <t>Xã Trường Giang-Ba Gia</t>
  </si>
  <si>
    <t>Nâng cấp mở rộng tuyến đường Nguyễn Tự Tân (Đường tỉnh ĐT.621)</t>
  </si>
  <si>
    <t>Mở rộng nút giao thông và hệ thống hạ tầng khác</t>
  </si>
  <si>
    <t xml:space="preserve">Từng bước hoàn thiện mạng lưới giao thông theo quy hoạch được duyệt </t>
  </si>
  <si>
    <t>Tỉnh lộ 621 đi Giáp đường Sa Huỳnh - Dung Quất</t>
  </si>
  <si>
    <t>Khoảng 1,3 km và công trình trên tuyến</t>
  </si>
  <si>
    <t>Dự án tỉnh lộ 621đi giáp đường Dung Quất - Sa Huỳnh khi được đầu tư hoàn thành sẽ tạo điều kiện thuận lợi cho việc đi lại của nhân dân xã Đông Sơn và các xã lân cận, tạo điều kiện phát triển sản xuất và vận chuyển hàng hóa nông lâm thủy sản góp phần nâng cao thu nhập, xóa đói giảm nghèo, nâng cao đời sống vật chất và tinh thần cho người dân nông thôn, tọa điều kiện thu hút đầu tư, thúc đẩy phát triển và chuyển dịch cơ cấu kinh tế.</t>
  </si>
  <si>
    <t>Xây dựng các tuyến đường phía Bắc đô thị thị trấn Trà Xuân</t>
  </si>
  <si>
    <t>Tổng chiều dài thiết kế L=677m. Trong đó cầu qua sông Lc = 129,5m</t>
  </si>
  <si>
    <t>Quyết định số 33/QĐ-UBND ngày 08/01/2024 của Chủ tịch UBND huyện Trà Bồng</t>
  </si>
  <si>
    <t>Đã phê duyệt dự án</t>
  </si>
  <si>
    <t>Đường BTXM Làng Lòn, Sơn Trung đi Pa Ra, Sơn Hải</t>
  </si>
  <si>
    <t>xã Sơn Thủy</t>
  </si>
  <si>
    <t>Công trình giao thông, cấp IV</t>
  </si>
  <si>
    <t>Đáp ứng nhu cầu đi lại, vận chuyển lưu thông hàng hóa, lương thực thực phẩm, con em đến trường; phục vụ nhu cầu an sinh xã hội phục vụ đời sống sinh hoạt, sản xuất kinh doanh của nhân dân; tạo kết nối, rút ngắn khoảng cách từ Trụ sở Đảng ủy, Ủy ban MTTQVN xã đến Trụ sở HĐND, UBND xã Sơn Thủy tạo điều kiện thuận lợi cho công chức, viên chức và người dân trong liên hệ công tác; kết nối với tuyến đường ĐT632B và QL24B; phát triển hạ tầng giao thông xã Sơn Thủy.
Tạo mạng lưới giao thông kết nối liên các xã Sơn Hà - Sơn Thủy - Sơn Kỳ và một số xã khác trong vùng.</t>
  </si>
  <si>
    <t>Cầu Tà Pía (Sơn Hải)</t>
  </si>
  <si>
    <t>Cầu BTCT vĩnh cữu</t>
  </si>
  <si>
    <t>Đáp ứng nhu cầu đi lại, vận chuyển lưu thông hàng hóa, lương thực thực phẩm, con em đến trường, cứu nạn, cứu hộ; phục vụ nhu cầu an sinh xã hội phục vụ đời sống sinh hoạt, sản xuất kinh doanh của  nhân dân; kết nối với tuyến đường QL24B; phát triển hạ tầng giao thông nhằm đảm bảo mục tiêu ổn định và nâng cao đời sống, phát triển văn hoá, kinh tế, chính trị xã Sơn Thủy
Tạo mạng lưới giao thông kết nối liên các xã Sơn Thủy - Sơn Linh - Sơn Kỳ - Minh Long và một số xã khác trong vùng.</t>
  </si>
  <si>
    <t>Đường Đô thị 03 (ĐT.04-KDC Tu Ka nhổ)</t>
  </si>
  <si>
    <t>Được thiết kế theo tiêu chuẩn TCXDVN 104-2007 (Đường phố gom), chiều dài L=1.400 m. (Gồm nền, mặt đường, thoát nước ngang, dọc, an toàn giao thông).</t>
  </si>
  <si>
    <t>- Từng bước hoàn thiện mạng lưới giao thông và hạ tầng kỹ thuật trên địa bàn xã, tạo sự đồng bộ kết cấu hạ tầng kỹ thuật của trung tâm xã; góp phần phát triển kinh tế - xã hội, đảm bảo quốc phòng, an ninh ở địa phương; giúp giảm nghèo và bền vững ở xã Sơn Tây Thượng, tạo động lực phát triển vùng, nâng cao chất lượng sống cho người dân</t>
  </si>
  <si>
    <t> </t>
  </si>
  <si>
    <t>Đường Đô thị 12 (Đường TSĐ-VH2)</t>
  </si>
  <si>
    <t>Được thiết kế theo tiêu chuẩn TCXDVN 104-2007 (Đường phố gom), chiều dài L=6000 m. (Gồm nền, mặt đường, thoát nước ngang, dọc, an toàn giao thông).</t>
  </si>
  <si>
    <t>Góp phần đảm bảo an toàn tính mạng, tài sản của người dân; tạo điều kiện đi lại, vận chuyển nông sản của người dân được thuận lợi; Ứng cứu kịp thời khi có thiên tai xảy ra, đảm bảo ổn định chính trị, an ninh, quốc phòng đồng thời góp phần phát triển kinh tế - xã hội, xói đói giảm nghèo trên địa bàn huyện.</t>
  </si>
  <si>
    <t>Dự án Hồ chứa nước Đăk PoKei (giai đoạn 2)</t>
  </si>
  <si>
    <t>BQLDA ĐTXD các công trình NN &amp; PTNT tỉnh</t>
  </si>
  <si>
    <t>Cung cấp nước tưới cho 400ha diện tích đất sản xuất nông nghiệp và cấp nước sinh hoạt cho 35.000 người dân</t>
  </si>
  <si>
    <t>Đầu tư dự án Hồ chứa nước Đăk Pokei (giai đoạn 2) nhằm phát huy tối đa hiệu quả của công trình sau khi dự án Hồ chứa nước Đăk Pokei (giai đoạn 1) đã được đầu tư và đi vào hoạt động. Góp phần đáp ứng đầy đủ các mục tiêu chung của dự án như cung cấp nước tưới ổn định cho 2.000 ha đất sản xuất nông nghiệp, cung cấp nước sịnh hoạt cho 35.000 nhân khẩu.</t>
  </si>
  <si>
    <t>Ưu tiên 1</t>
  </si>
  <si>
    <t>Thủy lợi Kon Braih 3</t>
  </si>
  <si>
    <t xml:space="preserve">Cấp nước tưới cho 200 ha đất nông nghiệp </t>
  </si>
  <si>
    <t xml:space="preserve">Việc đầu tư xây dựng dự án Thủy lợi Kon Braih 3 nhằm đảm bảo nhu cầu sản xuất nông nghiệp của người dân, đây cũng là sự mong mỏi để người dân chủ động trong sản xuất nông nghiệp, đảm bảo ổn định lương thực tại chỗ. </t>
  </si>
  <si>
    <t>Ưu tiên 2</t>
  </si>
  <si>
    <t xml:space="preserve">Đầu tư xây dựng hồ chứa nước thôn 7, xã Đăk Mar </t>
  </si>
  <si>
    <t>Xã Đăk Mar, tỉnh Quảng Ngãi</t>
  </si>
  <si>
    <t>Cung cấp nước tưới cho khoảng 680ha đất sản xuất nông nghiệp</t>
  </si>
  <si>
    <t xml:space="preserve">Đầu tư xây dựng Dự án Hồ chứa nước Thôn 7 nhằm đảm bảo cung cấp nước tưới cho khoảng 680ha đất sản xuất nông nghiệp của người dân, đáp ứng chương trình mục tiêu xóa đói, giảm nghèo cho đồng bào dân tộc vùng sâu, vùng xa, góp phần đảm bảo an ninh quốc phòng, hạn chế phá rừng làm rẫy. </t>
  </si>
  <si>
    <t>Ưu tiên 3</t>
  </si>
  <si>
    <t>Dự án Kè chống sạt lở sông Đăk Snghé</t>
  </si>
  <si>
    <t>Xã Kon Braih, tỉnh Quảng Ngãi</t>
  </si>
  <si>
    <t>Xây dựng tuyến kè có tổng chiều dài 3,5km (bao gồm bờ tả và bờ hữu)</t>
  </si>
  <si>
    <t xml:space="preserve">Đầu tư xây dựng dự án Kè chống sạt lở sông Đăk Snghé là hết sức cần thiết và cấp bách. Dự án được xây dựng sẽ khắc phục tình trạng sạt lở bờ sông khu vực xã Kon Braih, bảo vệ dân cư, cơ sở hạ tầng thiết yếu, góp phần đảm bảo an ninh - quốc phòng, ổn định đời sống người dân trong khu vực; dự án phù hợp với các quy hoạch của Chính phủ và tỉnh Quảng Ngãi, nhằm chủ động ứng phó với các tác động của biến đổi khí hậu như hiện nay. </t>
  </si>
  <si>
    <t>Ưu tiên 4</t>
  </si>
  <si>
    <t>Đường kết hợp kè bờ suối Đăk Ter (đoạn còn lại)</t>
  </si>
  <si>
    <t>Xã Tu Mơ Rông, tỉnh Quảng Ngãi</t>
  </si>
  <si>
    <t xml:space="preserve">Xây dựng đường giao thông kết hợp với tuyến kè có tổng chiều dài 2,0km </t>
  </si>
  <si>
    <t>Đầu tư xây dựng dự án Đường kết hợp kè bờ suối Đăk Ter (đoạn còn lại) nhằm khắc phục tình trạng sạt lở bờ suối khu vực trung tâm xã Tu Mơ Rông và tạo điều kiện thuận lợi giao thông cho người dân, bảo vệ dân cư, cơ sở hạ tầng thiết yếu, góp phần đảm bảo an ninh - quốc phòng, ổn định đời sống người dân trong khu vực.</t>
  </si>
  <si>
    <t>Ưu tiên 5</t>
  </si>
  <si>
    <t>Kè chống sạt lở sông Đăk Tờ Kan (đoạn còn lại)</t>
  </si>
  <si>
    <t>Xã Đăk Tô, tỉnh Quảng Ngãi</t>
  </si>
  <si>
    <t xml:space="preserve">Xây dựng tuyến kè có tổng chiều dài 3,5km </t>
  </si>
  <si>
    <t>Đầu tư xây dựng dự án Kè chống sạt lở sông Đăk Tờ Kan (đoạn còn lại) là hết sức cần thiết và cấp bách. Dự án được xây dựng sẽ khắc phục tình trạng sạt lở bờ sông khu vực xã Đak Tô, bảo vệ dân cư, cơ sở hạ tầng thiết yếu, góp phần đảm bảo an ninh - quốc phòng, ổn định đời sống người dân trong khu vực.</t>
  </si>
  <si>
    <t>Ưu tiên 6</t>
  </si>
  <si>
    <t>Công trình đập dâng số 1</t>
  </si>
  <si>
    <t>tỉnh Quảng Ngãi</t>
  </si>
  <si>
    <t>Xây dựng đập dâng bê tông, kết hợp cầu dẫn qua sông chiều dài 125m, cao trình đỉnh đập +518,0m</t>
  </si>
  <si>
    <t xml:space="preserve">Nhằm khắc phục tình trạng Sông Đăk Bla, mùa kiệt kéo dài, dòng chảy sông Đăk Bla cạn kiệt, lòng sông, bãi sông lộ trơ sỏi cuội, việc lấy nước cho các nhà máy nước và các trạm bơm nước theo quy mô hộ gia đình bị hạn chế rất nhiều, hình thành lòng hồ có cảnh quan đẹp cho các xã Trung tâm khu vực phía Tây tỉnh Quảng Ngãi và các khu vực du lịch sinh thái ven sông như khu du lịch Đăk Rơ Wa. </t>
  </si>
  <si>
    <t>Ưu tiên 7</t>
  </si>
  <si>
    <t>Đầu tư sửa chữa, nâng cấp các hồ chứa trên địa bàn tỉnh Kon Tum cũ</t>
  </si>
  <si>
    <t>Ưu tiên 8</t>
  </si>
  <si>
    <t>Thủy lợi Đăk Toa, xã Đăk Kôi (Giai đoạn II)</t>
  </si>
  <si>
    <t>Xã Đăk Kôi, tỉnh Quảng Ngãi</t>
  </si>
  <si>
    <t>Ưu tiên 9</t>
  </si>
  <si>
    <t>Dự án Xây dựng hành lang bảo vệ nguồn nước trên địa bàn tỉnh Kon Tum cũ; triển khai bảo vệ nguồn nước cần phải xây dựng hành lang bảo vệ là: (i) Hệ thống sông, suối: 364 công trình; (ii) Hồ chứa thủy lợi: 17 hồ chứa.</t>
  </si>
  <si>
    <t>Ưu tiên 10</t>
  </si>
  <si>
    <t>Hồ chứa nước Đăk Ta</t>
  </si>
  <si>
    <t>Xã Ngọc Réo, tỉnh Quảng Ngãi</t>
  </si>
  <si>
    <t>- Xây dựng đập đất tạo hồ chứa nước có dung tích khoảng 0,5 triệu m3 và hệ thống dẫn nước có chiều dài khoảng 2,1 km.</t>
  </si>
  <si>
    <t>Với nhu cầu cấp bách về nguồn nước để đảm bảo tưới ổn định cho diện tích 120 ha cây trồng (bao gồm 30 ha lúa nước và 90 ha cây trồng cạn) việc đầu tư xây dựng cải tạo, nâng cấp công trình thủy lợi Đăk Ta thành hồ chứa để trữ nước mùa mưa và cấp nước cho sản xuất nông nghiệp của người dân địa phương là rất cần thiêt.</t>
  </si>
  <si>
    <t>Ưu tiên 11</t>
  </si>
  <si>
    <t xml:space="preserve">Chỉnh trị cục bộ sông và Xây dựng Đập tràn cải tạo cảnh quan Sông Pô Kô đoạn qua đia bàn xã Đăk Pék </t>
  </si>
  <si>
    <t>Xã Đăk Pék, tỉnh Quảng Ngãi</t>
  </si>
  <si>
    <t>Khắc phục sạt lở bờ bắc sông Cây Bứa ở thôn An Đại 3 và thôn Năng Tây 2, xã Nghĩa Phương</t>
  </si>
  <si>
    <t xml:space="preserve"> L = 80m; B=(1,1-2)m</t>
  </si>
  <si>
    <t>Khắc phục sạt lở bờ sông ổn định đời sống nhân dân, chống ngập úng trên diện rộng mỗi khi mùa mưa lũ về, giảm thiểu ô nhiễm môi trường, từng bước hoàn thiện cơ sở vật chất cho xã đạt chuẩn nông thôn mới.</t>
  </si>
  <si>
    <t>Kè chống sạt lỡ sông Bàu Ráng, đoạn qua thôn Điện An 4, xã Nghĩa Thương</t>
  </si>
  <si>
    <t xml:space="preserve"> L= 150m</t>
  </si>
  <si>
    <t xml:space="preserve">Đảm bảo nông nghiệp cho các hộ dân thôn Điện An 4, xã Nghĩa Thương, huyện Tư Nghĩa, giảm thiểu thiệt hại trong sản xuất, tạo thuận lợi cho nông dân an tâm đầu tư, phát triển, ổn định đời sống nhân dân vùng hưởng lợi, góp phần xây dựng nông thông mới kiểu mẫu.
</t>
  </si>
  <si>
    <t>Kè chống sạt lở sông La Châu, xã Nghĩa Trung</t>
  </si>
  <si>
    <t xml:space="preserve"> 220m</t>
  </si>
  <si>
    <t xml:space="preserve">Khắc phục sạt lở bờ sông đoạn qua thôn La Châu nhằm đảm bảo an toàn tính mạng, nhà cửa, đường giao thông, đất đai và tài sản khác của nhân dân thôn La Châu, xã Nghĩa Trung, huyện Tư Nghĩa. Hạn chế những tác động tiêu cực của dòng chảy đối với cảnh quan môi trường dọc sông.
</t>
  </si>
  <si>
    <t>Kè chống sạt lở Bờ Hữu Suối Tía ( Đoạn từ cầu Thiệp xuyên đến Cầu Suối tía)</t>
  </si>
  <si>
    <t xml:space="preserve"> Chiều dài tuyến kè L=1000m</t>
  </si>
  <si>
    <t xml:space="preserve"> Xây dựng Kè chống sạt lở bờ sông nhằm bảo vệ tính mạng, tài sản, đất đai của người dân, góp phần ổn định sản xuất, ổn định và nâng cao cuộc sống nhân dân vùng dự án.</t>
  </si>
  <si>
    <t>Kè chống sạt lở Khu Diên Sơn đến Lạc Sơn (Cầu Đồng Tre đến đập Đồng Thét)</t>
  </si>
  <si>
    <t>Chiều dài tuyến kè L=2500m</t>
  </si>
  <si>
    <t>Nâng cấp đập dâng Ruộng thủ</t>
  </si>
  <si>
    <t>Đập dâng chiều dài khoảng 80m và kè</t>
  </si>
  <si>
    <t>Việc đầu tư có tác động trực tiếp đến đời sống nhân dân trong vùng, ổn định diện tích canh tác, tăng mùa vụ nhằm ổn định sản xuất nông nghiệp, từng bước cải thiện đời sống, nâng cao dân trí, cải tạo môi trường sinh thái, góp phần xoá đói giảm nghèo cho nhân dân trong vùng.</t>
  </si>
  <si>
    <t>Sửa chửa, nâng cấp đập dâng Suối Lớn</t>
  </si>
  <si>
    <t>Hồ chứa nước Ba Rinh</t>
  </si>
  <si>
    <t>Diện tích mặt nước 5ha</t>
  </si>
  <si>
    <t>- Việc đầu tư xây dựng hồ chứa nước là rất cần thiết, đặc biệt trong bối cảnh biến đổi khí hậu và nhu cầu sử dụng nước ngày càng tăng. Hồ chứa nước đóng vai trò quan trọng trong việc điều tiết nguồn nước, đảm bảo cung cấp nước cho sản xuất, sinh hoạt, phòng chống lũ lụt và bảo vệ môi trường</t>
  </si>
  <si>
    <t>Kè Bờ Tả Sông Phước Giang ( giai đoạn 2)</t>
  </si>
  <si>
    <t>Chiều dài tuyến kè L=2000m</t>
  </si>
  <si>
    <t>Nâng cấp, sửa chữa Hồ Đồng Cần</t>
  </si>
  <si>
    <t>Diện tích mặt nước 5,4ha</t>
  </si>
  <si>
    <t>Tạo nguồn và cấp nước phục vụ sản xuất nông nghiệp, giữ nguồn nước cho gia súc, gia cầm</t>
  </si>
  <si>
    <t>Kè chống sạt lở từ nhà ông Đông-sân bóng đá thanh niên, Thôn Mai Lãnh Hữu</t>
  </si>
  <si>
    <t>Chiều dài kè L=1000m</t>
  </si>
  <si>
    <t>Để khắc phục hậu quả thiên tai, nhằm góp phần đảm bảo an sinh xã hội tạo điều kiện ổn định đời sống cho hơn 25 hộ dân (khoảng 120 nhân khẩu) phát triển kinh tế - xã hội trên địa bàn.</t>
  </si>
  <si>
    <t>Kè chống sạt lở KDC Gò Rộc, xã Thanh An</t>
  </si>
  <si>
    <t>Kè chống sạt lở KDC Lạc Sơn</t>
  </si>
  <si>
    <t>Chiều dài kè L=500m</t>
  </si>
  <si>
    <t>Kè chống sạt lở bên cầu Thanh An</t>
  </si>
  <si>
    <t>Bờ kè Suối Pa Ranh (TT đô thị mới)</t>
  </si>
  <si>
    <t>1.500m</t>
  </si>
  <si>
    <t>Bờ suối Pa Ranh, xã Ba Vì hiện trạng qua nhiều mùa mưa bão bị sạt lở, ảnh hưởng trực tiếp đến đất sản xuất của người dân sống dọc 02 bên bờ suối. Việc đầu tư kè chống sạt lở nhằm ổn định đời sống, mở rộng quỹ đất, tránh sạt lở ảnh hưởng đến tài sản của người dân, góp phần thức đẩy phát triển kinh tế, xã hội của địa phương</t>
  </si>
  <si>
    <t>Kè chống sạt lở bờ Sông Vệ, đoạn qua thôn An Chỉ Tây, An Chỉ Đông xã Đình Cương</t>
  </si>
  <si>
    <t>L=1000m</t>
  </si>
  <si>
    <t>Kè chống sạt lở bờ Sông Vệ, đoạn qua xã Thiện Tín</t>
  </si>
  <si>
    <t>xã Thiện Tín</t>
  </si>
  <si>
    <t>L=2000m, Kè tường đứng và kè mái nghiêng.</t>
  </si>
  <si>
    <t>Kè khắc phục sạt lở bờ Nam Sông Vệ đoạn thôn 2 và thôn 3 xã Long Phụng</t>
  </si>
  <si>
    <t>l=2Km</t>
  </si>
  <si>
    <t>Bảo vệ tài sản, đất đai và tính mạng của người dân và theo nguyện vọng của cử tri</t>
  </si>
  <si>
    <t>Kè chống sạt lở bờ Sông Phước Giang, đoạn qua xã Phước Giang, xã Nghĩa Hành</t>
  </si>
  <si>
    <t>L=1,500m (bao gồm 2 bên), Kè tường đứng và kè mái nghiêng.</t>
  </si>
  <si>
    <t xml:space="preserve"> </t>
  </si>
  <si>
    <t xml:space="preserve">Kè chống sạt lở Sông Phước Giang, đoạn qua xã Nghĩa Hành </t>
  </si>
  <si>
    <t>L=3,400 (bao gồm 2 bên)m, kè mái đứng bằng BT</t>
  </si>
  <si>
    <t>Nâng cấp hệ thống thoát nước Đồng Vông-Đồng Nguyên-Đồng Nước Ran</t>
  </si>
  <si>
    <t>Chiều dài khoảng L=1000m</t>
  </si>
  <si>
    <t>Nhằm đảm bảo việc thoát lũ khu dân cư Đồng Vông – Đồng Nguyên - Đồng nước Ran, chống ngập úng và xói lở khu vực dân cư trong mùa mưa lũ là việc làm hết sức cần thiết và cấp bách, công trình được đầu tư sẽ đáp ứng nguyện vọng tha thiết của người dân và đem lại hiệu quả kinh tế thiết thực, tạo cảnh quan môi trường xanh sạch đẹp. Đây cũng là nguyện vọng tha thiết của cơ quan ủy ban nhân dân xã Minh Long cũng như nhân dân trong vùng bao lâu nay</t>
  </si>
  <si>
    <t>Kè sạt lở bên tả cầu Long Mai- đất ông Nhi</t>
  </si>
  <si>
    <t>Chiều dài tuyến kè L=1000m</t>
  </si>
  <si>
    <t>Kè sạt lở KDC trung tâm xã Long Môn</t>
  </si>
  <si>
    <t>Cải tạo kênh Bàu Sắt ( Từ Sông Trà Khúc đến đường tránh QL1)</t>
  </si>
  <si>
    <t>3200m</t>
  </si>
  <si>
    <t>Cải tạo cảnh quan, giảm thiểu môi trường và nâng cao năng lực thoát lũ khu vực phường Trương Quang Trọng</t>
  </si>
  <si>
    <t xml:space="preserve">Kè gia cố thượng lưu Cầu cây da, xã Đức Phú </t>
  </si>
  <si>
    <t>L=412,50m</t>
  </si>
  <si>
    <t>Khắc phục và chống sạt lở, tạo dòng chảy thông thoáng nhằm giảm thiểu ngập lụt, bảo vệ tính mạng, tài sản, đất đai của nhân dân và hệ thống các công 
trình hạ tầng kỹ thuật của địa phương, hạn chế thiệt hại do mưa lũ</t>
  </si>
  <si>
    <t>Sửa chữa, nâng cấp hồ chứa nước ông Tới, xã Lân Phong</t>
  </si>
  <si>
    <t>Tăng thêm dung tích của hồ chưa 200.000m3, so với hiện trạng</t>
  </si>
  <si>
    <t>Để đảm bảo an toàn hồ chứa do xuất hiện các vết nứt trên thân đập</t>
  </si>
  <si>
    <t xml:space="preserve">Nạo vét, khơi thông, 
nắn dòng kênh tiêu suối Tú Sơn
</t>
  </si>
  <si>
    <t>l=5,1Km</t>
  </si>
  <si>
    <t>Nhằm tiêu, thoát nước, giảm thiểu tình trạng ngập úng cho 150 ha đất sản xuất nông nghiệp thuộc xã Lân Phong và giảm ngập cho khu dân cư xóm Châu Đường, thôn Tú Sơn 2 với 80 hộ dân bị ảnh hưởng, kết hợp với giao thông nội vùng; góp phần tăng năng suất cây trồng, cải thiện môi trường, ổn định đời sống của người dân xung quanh khu vực dự án</t>
  </si>
  <si>
    <t>Nạo vét, nâng cấp và sửa chữa kênh Tứ Đức</t>
  </si>
  <si>
    <t>L=9Km</t>
  </si>
  <si>
    <t xml:space="preserve">Đảm bảo tưới và tiêu thoát lũ </t>
  </si>
  <si>
    <t>KCH kênh S18-6</t>
  </si>
  <si>
    <t>L=1,8Km</t>
  </si>
  <si>
    <t xml:space="preserve">Đảm bảo phục vụ tưới  </t>
  </si>
  <si>
    <t>KCH kênh Năm Bàu</t>
  </si>
  <si>
    <t>L=3Km</t>
  </si>
  <si>
    <t>Đảm bảo phục vụ tưới, tiêu</t>
  </si>
  <si>
    <t>KCH kênh Mương Rạng</t>
  </si>
  <si>
    <t>KCH kênh Mương Tiêu</t>
  </si>
  <si>
    <t>Kiên cố hóa Sông Thoa (đoạn từ đập Phước Khánh đến đập Đôn Lương xã Mỏ Cày)</t>
  </si>
  <si>
    <t>L=7km</t>
  </si>
  <si>
    <t>Đập Cầu Bông</t>
  </si>
  <si>
    <t>Ban QLDA khu vực Đức Phổ</t>
  </si>
  <si>
    <t xml:space="preserve"> Phường  Đức Phổ </t>
  </si>
  <si>
    <t>Diện tích tưới 40ha</t>
  </si>
  <si>
    <t>Tiết kiệm nước, đảm bảo yêu cầu cung cấp nước tưới, phòng chống hạn, phục vụ sản xuất nông nghiệp</t>
  </si>
  <si>
    <t>Nâng cấp Đập Hiển Tây</t>
  </si>
  <si>
    <t>Diện tích tưới 156ha</t>
  </si>
  <si>
    <t>Nâng cấp Đập Rớ</t>
  </si>
  <si>
    <t>Diện tích tưới 45ha</t>
  </si>
  <si>
    <t>Các đập dâng xã Khánh Cường</t>
  </si>
  <si>
    <t>Diện tích tưới 80ha</t>
  </si>
  <si>
    <t>Kênh thoát nước chống ngập úng các xã, phường ven biển</t>
  </si>
  <si>
    <t xml:space="preserve"> Phường  Đức Phổ,   Trà Câu, xã Khánh Cường </t>
  </si>
  <si>
    <t>Xây dựng kênh thoát nước các xã, phường ven biển</t>
  </si>
  <si>
    <t>Chống ngập úng</t>
  </si>
  <si>
    <t>Đập ngăn mặn Cầu Chùa</t>
  </si>
  <si>
    <t>Diện tích tưới 30ha</t>
  </si>
  <si>
    <t>Kè chống sạt lở Sông Lò Bó phía Tây Quốc lộ 1A</t>
  </si>
  <si>
    <t>500m</t>
  </si>
  <si>
    <t>Kè bảo vệ bờ, Tăng khả năng thoát lũ</t>
  </si>
  <si>
    <t>Kè chống sạt lở sông Quán đến sông Rớ</t>
  </si>
  <si>
    <t>2200m</t>
  </si>
  <si>
    <t>Kè chống sạt lở sông Trà Câu các đoạn còn lại</t>
  </si>
  <si>
    <t xml:space="preserve"> Phường  Đức Phổ và phường Trà Câu </t>
  </si>
  <si>
    <t>7000m</t>
  </si>
  <si>
    <t>Kè chống sạt lở sông Lò Bó (GĐ2)</t>
  </si>
  <si>
    <t xml:space="preserve"> Phường  Đức Phổ  </t>
  </si>
  <si>
    <t>1200m</t>
  </si>
  <si>
    <t>Đê kè sông Trường (GĐ2)</t>
  </si>
  <si>
    <t>1500m</t>
  </si>
  <si>
    <t>Kè chống sạt lở đoạn sông Rớ đến sông Trường</t>
  </si>
  <si>
    <t>1600m</t>
  </si>
  <si>
    <t>Kè bảo vệ bờ. Tăng khả năng thoát lũ</t>
  </si>
  <si>
    <t>Chỉnh trị dòng chảy sông Trà Câu và kè bảo vệ bờ</t>
  </si>
  <si>
    <t>Khơi thông, chỉnh trị nắn dòng và xây kè bảo vệ bờ</t>
  </si>
  <si>
    <t>Tăng khả năng thoát lũ trên sông Trà Câu, góp phần giảm tình hình ngập lũ</t>
  </si>
  <si>
    <t>Nạo vét khơi thông dòng chảy thoát lũ sông Trà Câu</t>
  </si>
  <si>
    <t xml:space="preserve"> Phường  Đức Phổ, Trà câu </t>
  </si>
  <si>
    <t>Khối lượng đào khoảng 0,34 triệu m3</t>
  </si>
  <si>
    <t>Lĩnh vực y tế</t>
  </si>
  <si>
    <t>Xây dựng mới trụ sở làm việc Cơ quan Sở Y tế</t>
  </si>
  <si>
    <t>Trung tâm Kiểm soát bệnh tật (Hạng mục: Đầu tư xây dựng Trung tâm Kiểm soát Bệnh tật tỉnh Kon Tum</t>
  </si>
  <si>
    <t>Xây dựng mới</t>
  </si>
  <si>
    <t>Trạm y tế xã Mộ Đức</t>
  </si>
  <si>
    <t>Đảm bảo theo TCVN 7022 : 2002</t>
  </si>
  <si>
    <t>Đảm bảo điều kiện về cơ sở vật chất để cung cấp các dịch vụ chuyên môn, kỹ thuật về chăm sóc sức khỏe ban đầu, bao gồm: Y tế dự phòng, khám bệnh, chữa bệnh, phục hồi chức năng, sức khỏe sinh sản, an toàn thực phẩm, dân số, bảo trợ xã hội, phòng, chống tệ nạn xã hội (không bao gồm cai nghiện ma túy và quản lý sau cai nghiện ma túy), trợ giúp xã hội và các dịch vụ y tế khác theo quy định của pháp luật (sắp xếp 1 Trạm Y tế tại cấp xã cũ thành 1 Trạm Y tế tại cấp xã mới và có các điểm Y tế tại các xã cũ để phục vụ người dân)</t>
  </si>
  <si>
    <t>Trạm y tế  xã  Lân Phong</t>
  </si>
  <si>
    <t xml:space="preserve"> 2027-2029</t>
  </si>
  <si>
    <t>Trạm y tế xã Long Phụng</t>
  </si>
  <si>
    <t>Trạm y tế xã Mỏ Cày</t>
  </si>
  <si>
    <t>Trung tâm Y tế huyện Bình Sơn (hạng mục: Xây dựng mới khối khám và điều trị, khối cận lâm sàn, khối hành chính; cải tạo, mở rộng các khoa, phòng và các hạng mục phụ trợ; Nâng cấp, mở rộng hệ thống xử lý nước thải; Cải tạo hệ thống PCCC</t>
  </si>
  <si>
    <t>Sở Y tế; BQLDA ĐTXD các công trình Dân dụng và công nghiệp tỉnh</t>
  </si>
  <si>
    <t>Đáp ứng nhu cầu khám chữa bệnh cho nhân dân huyện Bình Sơn và vùng lân cận, giảm tải cho các bệnh viện tuyến trên</t>
  </si>
  <si>
    <t>Trung tâm Y tế huyện Sơn Hà (Hạng mục: xây dựng khu hành chính, khoa cận lâm sàn, cải tạo, mở rộng các khoa, phòng và các hạng mục phụ trợ; Cải tạo hệ thống PCCC)</t>
  </si>
  <si>
    <t>Đáp ứng nhu cầu khám chữa bệnh cho nhân dân huyện Sơn Hà và vùng lân cận, giảm tải cho các bệnh viện tuyến trên</t>
  </si>
  <si>
    <t>Trung tâm Y tế huyện Ba Tơ (Hạng mục: xây dựng khối nhà nội trú; cải tạo, mở rộng các khoa, phòng và các hạng mục phụ trợ; Nâng cấp, mở rộng hệ thống xử lý nước thải; Cải tạo toàn bộ hệ thống PCCC</t>
  </si>
  <si>
    <t>Đáp ứng nhu cầu khám chữa bệnh cho nhân dân huyện Ba Tơ và vùng lân cận, giảm tải cho các bệnh viện tuyến trên</t>
  </si>
  <si>
    <t>Trung tâm Y tế huyện Trà Bồng (hạng mục: Xây dựng mới, cải tạo, mở rộng các khoa, phòng, các hạng mục phụ trợ; Nâng cấp, mở rộng hệ thống xử lý nước thải; Cải tạo hệ thống PCCC</t>
  </si>
  <si>
    <t>Đáp ứng nhu cầu khám chữa bệnh cho nhân dân huyện Trà Bồng và vùng lân cận, giảm tải cho các bệnh viện tuyến trên</t>
  </si>
  <si>
    <t>Bệnh viện Tâm thần (hạng mục: Xây dựng khoa điều trị bệnh nhân cấp tính và nghiện chất; cải tạo, nâng cấp các khoa, phòng, Cải tạo hệ thống PCCC)</t>
  </si>
  <si>
    <t>Xây dựng mới các hạng mục</t>
  </si>
  <si>
    <t>Hoàn thiện cơ sở vật chất bệnh viện, tăng quy mô khám chữa bệnh, góp phần nâng cao công tác khám chữa bệnh</t>
  </si>
  <si>
    <t>Bệnh viện nội tiết (Hạng mục: xây dựng khu kỹ thuật cận lâm sàng; cải tạo, nâng cấp các khoa, phòng)</t>
  </si>
  <si>
    <t>Góp phần nâng cao chất lượng khám chữa bệnh cho nhân dân</t>
  </si>
  <si>
    <t>Bệnh viện Lao và Bệnh viện phổi (hạng mục: Cải tạo, nâng cấp Khu hành chính, Khoa lao ngoài phổi và Bệnh phỗi nhiễm trùng, các hạng mục phụ trợ; Cải tạo hệ thống PCCC)</t>
  </si>
  <si>
    <t xml:space="preserve"> Nâng cấp, cải tạo </t>
  </si>
  <si>
    <t>Trung tâm Y tế huyện Sơn Tây (hạng mục: Xây dựng mới khối điều trị, khối hành chính; cải tạo, mở rộng các khoa, phòng và các hạng mục phụ trợ; Cải tạo hệ thống PCCC)</t>
  </si>
  <si>
    <t>Đáp ứng nhu cầu khám chữa bệnh cho nhân dân huyện Sơn Tây và vùng lân cận, giảm tải cho các bệnh viện tuyến trên</t>
  </si>
  <si>
    <t>Trung tâm Y tế huyện Mộ Đức (Hạng mục: Xây mới khoa Bệnh nhiệt đới, khoa kiểm soát nhiễn khuẩn, nhà đại thể; Cải tạo khối nhà điều trị 3 tầng, khu hành chính, hành lang cầu nối, khối nhà xét nghiệm các hạng mục phụ trợ; Cải tạo toàn bộ hệ thống PCCC)</t>
  </si>
  <si>
    <t>Đáp ứng nhu cầu khám chữa bệnh cho nhân dân huyện Mộ Đức và vùng lân cận, giảm tải cho các bệnh viện tuyến trên</t>
  </si>
  <si>
    <t>Trung tâm Y tế thành phố (Hạng mục: Xây dựng khoa Y học cổ truyền, phục hồi chức năng, khoa Dược và các hạng mục phụ trợ)</t>
  </si>
  <si>
    <t xml:space="preserve">Đáp ứng nhu cầu khám chữa bệnh cho nhân dân thành phố Quảng Ngãi và vùng lân cận, tạo điều kiện cho người dân tiếp cận các phương pháp phòng, phối hợp, hỗ trợ và điều trị, nâng cao sức khỏe cho người dân; giảm tải cho bệnh viện y học cổ truyền tuyến tỉnh; </t>
  </si>
  <si>
    <t>Trung tâm Y tế huyện Tư Nghĩa ( Hạng mục: Xây dựng Khoa Y tế dự phòng, khối các phòng chức năng; cải tạo nâng cấp, mở rộng các khoa phòng, các hạng mục phụ trợ)</t>
  </si>
  <si>
    <t>Đáp ứng nhu cầu khám chữa bệnh cho nhân dân huyện Tư Nghĩa và vùng lân cận, giảm tải cho các bệnh viện tuyến trên</t>
  </si>
  <si>
    <t>Trung tâm Y tế huyện Nghĩa Hành (Hạng mục: nâng cấp, cải tạo, mở rộng các khoa, phòng và các hạng mục phụ trợ; ải tạo toàn bộ hệ thống PCCC)</t>
  </si>
  <si>
    <t>Đáp ứng nhu cầu khám chữa bệnh cho nhân dân huyện Nghĩa Hành và vùng lân cận, giảm tải cho các bệnh viện tuyến trên</t>
  </si>
  <si>
    <t xml:space="preserve">Trung tâm Y tế huyện Minh Long (Hạng mục: nâng cấp, cải tạo, mở rộng các khoa, phòng và các hạng mục phụ trợ; Nâng cấp  hệ thống xử lý nước thải; Cải tạo toàn bộ hệ thống PCCC) </t>
  </si>
  <si>
    <t>Đáp ứng nhu cầu khám chữa bệnh cho nhân dân huyện Minh Longvà vùng lân cận, giảm tải cho các bệnh viện tuyến trên</t>
  </si>
  <si>
    <t>Trung tâm mắt (Hạng mục: Xây dựng mới khối khám và điều trị;  nâng cấp, cải tạo, các khoa, phòng, và các hạng mục phụ trợ; Xây mới hệ thống xử lý nước thải; Cải tạo toàn bộ hệ thống PCCC)</t>
  </si>
  <si>
    <t>Đáp ứng nhu cầu khám chữ bệnh cho nhân dân trong tỉnh đối với các bệnh về mắt; tiếp cận các dịch vụ y tế chất lượng cao</t>
  </si>
  <si>
    <t>Lĩnh vực giáo dục và đào tạo</t>
  </si>
  <si>
    <t xml:space="preserve"> Trường THCS THSP Lý Tự Trọng; hang mục:Xây mới bổ sung 24 phòng học, thư viện + 04 phòng bộ môn và các hạng mục phụ trợ khác</t>
  </si>
  <si>
    <t>Sở Giáo dục và Đào tạo</t>
  </si>
  <si>
    <t>Xây mới bổ sung 24 phòng học, thư viện + 04 phòng bộ môn và các hạng mục phụ trợ khác</t>
  </si>
  <si>
    <t>Hoàn thiện cơ sở vật chất, góp phần nâng cao chất lượng dạy và học của nhà trường</t>
  </si>
  <si>
    <t>Trường THPT Lê Lợi;hang mục: Xây mới khu hành chính quản trị; thư viện; sân chơi bãi tập và các hạng mục phụ trợ khác</t>
  </si>
  <si>
    <t>Xây mới khu hành chính quản trị; thư viện; sân chơi bãi tập và các hạng mục phụ trợ khác</t>
  </si>
  <si>
    <t>Trường THPT Chuyên Nguyễn Tất Thành;hang mục:Xây mới 12 phòng học bồi dưỡng đội tuyển học sinh giỏi quốc gia; nâng cấp nhà đa năng +  bể bơi và các hạng mục phụ trợ khác</t>
  </si>
  <si>
    <t>Xây mới 12 phòng học bồi dưỡng đội tuyển học sinh giỏi quốc gia; nâng cấp nhà đa năng +  bể bơi và các hạng mục phụ trợ khác</t>
  </si>
  <si>
    <t>Trường THPT Trần Quốc Tuấn;hang mục:Xây mới thay thế 24 phòng học; 4 phòng bộ môn; sân chơi bãi tập và các hạng mục phụ trợ khác</t>
  </si>
  <si>
    <t>Xã Đăk Hà</t>
  </si>
  <si>
    <t>Xây mới thay thế 24 phòng học; 4 phòng bộ môn; sân chơi bãi tập và các hạng mục phụ trợ khác</t>
  </si>
  <si>
    <t>Trường THPT Nguyễn Văn Cừ; hang mục:Xây mới nhà đa năng; 4 phòng bộ môn; sân chơi bãi tập và các hạng mục phụ trợ khác</t>
  </si>
  <si>
    <t xml:space="preserve">Xã Đăk Tô, </t>
  </si>
  <si>
    <t>Xây mới nhà đa năng; 4 phòng bộ môn; sân chơi bãi tập và các hạng mục phụ trợ khác</t>
  </si>
  <si>
    <t>Trường THPT Quang Trung;hang mục:Xây mới nhà đa năng; 4 phòng bộ môn; sân chơi bãi tập và các hạng mục phụ trợ khác</t>
  </si>
  <si>
    <t>xã Sa Thầy</t>
  </si>
  <si>
    <t>Trường THPT Ngô Mây;hang mục: Xây mới 12 phòng học; thư viện; nâng cấp cổng tường rào và các hạng mục phụ trợ khác</t>
  </si>
  <si>
    <t>Xây mới 12 phòng học; thư viện; nâng cấp cổng tường rào và các hạng mục phụ trợ khác</t>
  </si>
  <si>
    <t>Trường MN THSP Kon Tum; hang mục: Xây dựng 01 nhà ăn + nhà bếp và sân chơi bãi tập cho học sinh</t>
  </si>
  <si>
    <t>Xây dựng 01 nhà ăn + nhà bếp và sân chơi bãi tập cho học sinh</t>
  </si>
  <si>
    <t>Trường THPT Trường Chinh; hang mục:Xây mới nhà đa năng; thư viện; 4 phòng bộ môn và các hạng mục phụ trợ khác</t>
  </si>
  <si>
    <t>Xây mới nhà đa năng; thư viện; 4 phòng bộ môn và các hạng mục phụ trợ khác</t>
  </si>
  <si>
    <t>Trường THPT Phan Bội Châu;hang mục:  Xây mới nhà đa năng; sân chơi bãi tập; nâng cấp cổng tường rào và các hạng mục phụ trợ khác</t>
  </si>
  <si>
    <t xml:space="preserve">xã Ia chim, </t>
  </si>
  <si>
    <t>Xây mới nhà đa năng; sân chơi bãi tập; nâng cấp cổng tường rào và các hạng mục phụ trợ khác</t>
  </si>
  <si>
    <t>Trường THPT Chu Văn An ; hang mục: Xây mới nhà đa năng; sân chơi bãi tập và các hạng mục phụ trợ khác</t>
  </si>
  <si>
    <t>xã Kon Briaih</t>
  </si>
  <si>
    <t>Xây mới nhà đa năng; sân chơi bãi tập và các hạng mục phụ trợ khác</t>
  </si>
  <si>
    <t>Xây dựng Trường PTDTBT TH  và THCS  Long Môn: Hạng mục, Nhà đa năng và các phòng học</t>
  </si>
  <si>
    <t>Phòng học bộ môn 04 Phòng 2 tầng; Nhà đa năng và San nền</t>
  </si>
  <si>
    <t>- Đáp ứng yêu cầu ngày càng cao của công tác dạy và học; giúp nhà trường từng bước xây dựng cơ sở vật chất, tạo điều kiện cho cán bộ, giáo viên nhà trường được công tác giảng dạy trong ngôi trường có cơ sở vật chất khang trang, sạch, đẹp, qua đó giúp cán bộ, giáo viên, nhân viên nhà trường yên tâm công tác hơn và có điều kiện tốt hơn để phát huy năng lực trong giảng dạy và giáo dục</t>
  </si>
  <si>
    <t>Đầu tư nâng cấp các trường TH và THCS trên địa bàn thành phố</t>
  </si>
  <si>
    <t>Xã Tịnh Khê và Phường Trương Quang Trọng</t>
  </si>
  <si>
    <t>Trường TH &amp; THCS Lê Trung Đình, và Trần Quý Hai</t>
  </si>
  <si>
    <t>Đáp ứng nhu cầu dạy và học trên địa bàn phường Trương Quang Trọng và xã Tịnh Ấn Tây</t>
  </si>
  <si>
    <t>Trường Mầm non Đức Lân</t>
  </si>
  <si>
    <t>540  trẻ / năm</t>
  </si>
  <si>
    <t>Xóa bỏ các phòng học, phòng làm việc cấp IV đã xuống cấp , hết niên hạn sử dụng;  kiên cố các phòng làm việc, phòng học để đáp ứng điều kiện trong công tác quản lý điều hành, công tác dạy và học cho giáo viên, học sinh nhà trường; từng bước hoàn thiện cơ sở vật chất để xây dựng trường đạt trường chuẩn Quốc gia ở cấp độ cao hơn</t>
  </si>
  <si>
    <t>Trường Tiểu học Thạch Trụ, Hạng mục: Khối nhà hiệu bộ và Khối nhà lớp học (06 phòng 02 tầng)</t>
  </si>
  <si>
    <t>Khối nhà hiệu bộ (02 tầng, tổng diện tích sàn khoảng 550m2) và Khối nhà lớp học (06 phòng 02 tầng, tổng diện tích khoảng 361m2)</t>
  </si>
  <si>
    <t>Trường Tiểu học Thị trấn Mộ Đức, Hạng mục: Khối hiệu bộ và các phòng bộ môn</t>
  </si>
  <si>
    <t>Khối hiệu bộ và các phòng học bộ môn (02 tầng, tổng diện tích sàn khoảng  866m2)</t>
  </si>
  <si>
    <t>Trường Tiểu học Bồ Đề; Hạng mục: khối hiệu bộ và các phòng học chức năng, khu nhà nghỉ bán trú</t>
  </si>
  <si>
    <t>xã Long Phụng</t>
  </si>
  <si>
    <t>Khối hiệu bộ và các phòng học bộ môn (02 tầng, tổng diện tích sàn 775m2 ), khu nhà nghỉ bán trú (02 tầng, tổng diện tích sàn khoảng 600m2 )</t>
  </si>
  <si>
    <t>Tiểu học Đức Tân, hạng mục khu nhà nghỉ bán trú</t>
  </si>
  <si>
    <t>Khu nhà ở bán trú (02 tầng, tổng diện tích sàn khoản 650m2)</t>
  </si>
  <si>
    <t>Trường tiều học Đức Phong;</t>
  </si>
  <si>
    <t>800 học sinh/ năm</t>
  </si>
  <si>
    <t>Trường Tiểu học Đức Phú, Hạng mục: Khu nhà ăn bán trú</t>
  </si>
  <si>
    <t>Khu nhà ăn bán trú  (02 tầng, tổng diện tích sàn khoảng 700m2)</t>
  </si>
  <si>
    <t>Trường Tiểu học Tú Sơn, Hạng mục: Khối hiệu bộ và các phòng học bộ môn và khu nhà ở bán trú</t>
  </si>
  <si>
    <t>Khối hiệu bộ và các phòng học bộ môn (02 tầng, tổng diện tích sàn khoảng 866m2), Khu nhà ở bán trú (02 tầng, tổng diện tích sàn khoản 650m2)</t>
  </si>
  <si>
    <t>Trường Tiểu học Năng An, hạng mục: Khối nhà lớp học (08 phòng, 02 tầng)</t>
  </si>
  <si>
    <t>Khối nhà lớp học (08 phòng, 02 tầng, tổng diện tích sàn khoảng 787m2)</t>
  </si>
  <si>
    <t>Trường Tiểu học Đức Thạnh, hạng mục: Khu nhà ở bán trú</t>
  </si>
  <si>
    <t>Khối nhà  nghỉ bán trú  ( 02 tầng, tổng diện tích sàn khoảng 650m2 )</t>
  </si>
  <si>
    <t>Trường THCS Đức Thắng; Hạng mục: khối hiệu bộ và các phòng học chức năng</t>
  </si>
  <si>
    <t>Khối hiệu bộ và các phòng học bộ môn (02 tầng, tổng diện tích sàn 959m2)</t>
  </si>
  <si>
    <t>Trường THCS Nguyễn Trãi; hạng mục: Mở rộng khuôn viên trường và xây dựng Nhà thi đấu đa năng</t>
  </si>
  <si>
    <t>Mỏ rộng diện tích khoảng 1000m2; Xây dựng nhà thi đấu đa năng diện tích khoảng trên 1.200m2</t>
  </si>
  <si>
    <t>Trường THCS Nguyễn Bá Loan, Hạng mục: Dãy 10 phòng học và khu nhà ăn bán trú</t>
  </si>
  <si>
    <t xml:space="preserve">Dãy 10 phòng học và khu nhà ăn bán trú (02 tầng, 1.626m2) </t>
  </si>
  <si>
    <t>Trường THCS Đức Lân, hạng mục: 06 phòng học bộ môn và khu nhà ăn bán trú</t>
  </si>
  <si>
    <t>06 phòng học bộ môn  (02 tầng, tổng diện tích sàn khoảng 750m2 , và khu nha ăn bán trú ( 02 tầng, tổng diện tích sàn khoảng  665  m2)</t>
  </si>
  <si>
    <t>Trường THCS Đức Hòa, hạng mục: Dãy nhà lớp học 08 phòng học</t>
  </si>
  <si>
    <t>Dãy nhà lớp học  bộ môn (08 phòng, 02 tầng 960m2)</t>
  </si>
  <si>
    <t>Trường THCS Đức Phú, hạng mục: Khối nhà hiệu bộ và các phòng học bộ môn</t>
  </si>
  <si>
    <t>Khối hiệu bộ và các học bộ môn ( 02 tẩng, tổng diện tích sàn khoảng 959m2)</t>
  </si>
  <si>
    <t>Trường THCS Minh Thạnh; hạng mục: dãy nhà lớp học bộ môn (08 phòng, 02 tầng)</t>
  </si>
  <si>
    <t>Trường THCS Nam Đàn; hạng mục: dãy nhà lớp học bộ môn (08 phòng, 02 tầng)</t>
  </si>
  <si>
    <t>Dãy nhà lớp học  (10 phòng, 02 tầng 1.100m2)</t>
  </si>
  <si>
    <t xml:space="preserve">Xây dựng hệ thống PC&amp;CC các điểm trường Mầm non trên địa bàn xã Mộ Đức </t>
  </si>
  <si>
    <t>Bể cấp nước PCCC khoảng trên 200m3; hệ thống  cấp nước PCCC và hệ thống báo cháy ..(Cho 1 điểm trường)</t>
  </si>
  <si>
    <t>Xây dựng hệ thống PCCC cho các điểm trường Tiểu Học  trên địa bàn xã Mộ Đức</t>
  </si>
  <si>
    <t>Đảm bảo theo Luật PCCC và CNCH số 5/2024/QH15, Nghị định số 105/2025/NĐ-CP và Thông tư số 6/2025/TT-BCA TCVN 3890:2023</t>
  </si>
  <si>
    <t>Xây dựng hệ thống PCCC cho các điểm trường THCS  trên địa bàn xã Mộ Đức</t>
  </si>
  <si>
    <t>Xây dựng hệ  PCCC cho  các điểm trường Mầm non trên địa bàn xã Lân Phong</t>
  </si>
  <si>
    <t>Xây dựng hệ thống PCCC cho 04 điểm trường Tiểu Học  trên địa bàn xã Lân Phong</t>
  </si>
  <si>
    <t>Xây dựng hệ thống PCCC cho các  điểm trường THCS  trên địa bàn xã Lân Phong</t>
  </si>
  <si>
    <t>Xây dựng hệ thống PCCC cho các điểm trường Mầm non trên địa bàn xã Long Phụng</t>
  </si>
  <si>
    <t>Xây dựng hệ thống PCCC cho các điểm trường Tiểu Học  trên địa bàn xã Long Phụng</t>
  </si>
  <si>
    <t>Xây dựng  thống PCCC cho các điểm trường THCS  trên địa bàn xã Long Phụng</t>
  </si>
  <si>
    <t>Xây dựng  thống PCCC cho 07 điểm trường Mầm non trên địa bàn xã Mỏ Cày</t>
  </si>
  <si>
    <t>Xây dựng  thống PCCC cho  các điểm trường Tiểu Học  trên địa bàn xã Mỏ Cày</t>
  </si>
  <si>
    <t>Xây dựng  thống PCCC cho các điểm trường THCS  trên địa bàn xã Mỏ Cày</t>
  </si>
  <si>
    <t>Xây dựng 12 phòng học 3 tầng Trung tâm giáo dục nghề nghiệp – Giáo dục thường xuyên</t>
  </si>
  <si>
    <t>Đầu tư xây dựng cơ sở vật chất nhằm phục vụ công tác dạy và học của  đơn vị</t>
  </si>
  <si>
    <t>Trường Tiểu học Phổ Văn; Hạng mục: 04 phòng bộ môn; nhà đa năng; hệ thống PCCC</t>
  </si>
  <si>
    <t>phường Trà Câu</t>
  </si>
  <si>
    <t>Đầu tư xây dựng cơ sở vật chất nhằm phục vụ công tác dạy và học của trường để từng bước đạt tiêu chuẩn cơ sở vật chất theo quy định của ngành; đồng thời thực hiện một số nhiệm vụ cấp bách của địa phương</t>
  </si>
  <si>
    <t>Trường THCS Nguyễn Nghiêm; Hạng mục: Xây dựng mới 08 phòng học, nhà đa năng; hệ thống PCCC</t>
  </si>
  <si>
    <t>THCS Phổ Văn; Hạng mục: 04 phòng bộ môn; Nhà thi đấu đa năng; hệ thống PCCC</t>
  </si>
  <si>
    <t xml:space="preserve">MN Phổ Cường; Hạng mục:  04 phòng học, 02 phòng bộ môn  (01 Giáo dục thể chất, 01 giáo dục nghệ thuật) </t>
  </si>
  <si>
    <t>TH Phổ Quang; Hạng mục: 04 phòng bộ môn</t>
  </si>
  <si>
    <t>MN Phổ Vinh; Hạng mục:  02 phòng (01 Giáo dục thể chất, 01 giáo dục nghệ thuật)</t>
  </si>
  <si>
    <t>TH Phổ Ninh; Hạng mục: 04 phòng bộ môn</t>
  </si>
  <si>
    <t>THCS Phổ Quang; Hạng mục: 04 phòng bộ môn</t>
  </si>
  <si>
    <t>Trường TH&amp;THCS Phổ Châu; Hạng mục: 04 phòng bộ môn tiểu học</t>
  </si>
  <si>
    <t>phường Sa Huỳnh</t>
  </si>
  <si>
    <t>TH&amp;THCS Phổ Minh; Hạng mục: 04 phòng bộ môn</t>
  </si>
  <si>
    <t>THCS Phổ Ninh; Hạng mục: 06 phòng học và nhà vệ sinh; 04 phòng bộ môn; Nhà thi đấu đa năng và hệ thống PCCC</t>
  </si>
  <si>
    <t>TH Ng. Nghiêm; Hạng mục: các phòng học, các phòng bộ môn, các phòng chức năng, phòng bảo vệ, tường rào, cổng ngõ, sân vườn, nhà ăn,…</t>
  </si>
  <si>
    <t>Trường TH&amp;THCS Phổ Hoà;  Hạng mục:  04 phòng bộ môn THCS (Âm  nhạc, Mỹ thuật, Ngoại ngữ, Tin)</t>
  </si>
  <si>
    <t>THCS Phổ An; Hạng mục: 04 phòng học và 04 phòng bộ môn; hệ thống PCCC</t>
  </si>
  <si>
    <t>THCS Phổ Phong; Hạng mục: 04 phòng bộ môn; Nhà thi đấu đa năng; hệ thống PCCC</t>
  </si>
  <si>
    <t xml:space="preserve">MN Phổ Khánh; Hạng mục: Nhà hiệu bộ, sân vườn;  02 phòng (01 Giáo dục thể chất, 01 giáo dục nghệ thuật) </t>
  </si>
  <si>
    <t>Trường TH số 1  Phổ Thạnh; hạng mục Xây dựng mới 04 phòng bộ môn</t>
  </si>
  <si>
    <t>TH Phổ Phong; Hạng mục: 04 phòng bộ môn</t>
  </si>
  <si>
    <t>THCS Phổ Thuận; Hạng mục: 04 phòng bộ môn</t>
  </si>
  <si>
    <t>MN Phổ Ninh; Hạng mục:  02 phòng (01 Giáo dục thể chất, 01 giáo dục nghệ thuật)</t>
  </si>
  <si>
    <t xml:space="preserve">MN Phổ Quang; Hạng mục:  02 phòng (01 Giáo dục thể chất, 01 giáo dục nghệ thuật) </t>
  </si>
  <si>
    <t>THCS Phổ Cường; Hạng mục: Nhà thi đấu đa năng</t>
  </si>
  <si>
    <t xml:space="preserve">Đầu tư xây dựng PCCC các điểm trường Mầm non, Tiểu học và Trung học cơ sở  </t>
  </si>
  <si>
    <t>các xã phường</t>
  </si>
  <si>
    <t>Trường THPT Võ Nguyên Giáp - Xây dựng khối thư viện, Khối nhà lớp học và các hạng mục phụ trợ</t>
  </si>
  <si>
    <t>- Sở Giáo dục và Đào tạo
- BQLDA ĐTXD các công trình DD&amp;CN tỉnh</t>
  </si>
  <si>
    <t>Xây dựng mới, nâng cấp, cải tạo</t>
  </si>
  <si>
    <t>Hoàn thiện cơ sở vật chất , góp phần nâng cao chất lượng dạy và học của nhà trường</t>
  </si>
  <si>
    <t>Trường THPT Trần Quang Diệu -  Hạng mục nhà lớp học 12 phòng, nhà Bộ môn+thư viện; bể bơi, sân bóng đá và các hạng mục phụ trợ</t>
  </si>
  <si>
    <t>Hoàn thiện cơ sở vật chất , góp phần nâng cao chất lượng dạy và học của nhà trường; nâng cao giáo dục thể chất cho học sinh</t>
  </si>
  <si>
    <t>Trường THPT Huỳnh Thúc Kháng - Nhà tập đa năng và các hạng mục phụ trợ</t>
  </si>
  <si>
    <t>Trường THPT số 2 Tư Nghĩa - Xây dựng Hội trường, khu thể chất và các hạng mục phụ trợ</t>
  </si>
  <si>
    <t>Trường THPT số 1 Nghĩa Hành -Hạng mục nhà hiệu bộ, bể bơi và các hạng mục phụ trợ</t>
  </si>
  <si>
    <t>Trường THPT số 2 Mộ Đức - Xây dựng Hội trường, nhà lớp học 8 phòng, khu giáo thể chất và các hạng mục phụ trợ</t>
  </si>
  <si>
    <t>Trường THPT Sơn Hà- Xây dựng dãy phòng học, phòng học bộ môn; nhà hiệu bộ, khối phục vụ hoạt động chung và các hạng mục phụ trợ</t>
  </si>
  <si>
    <t xml:space="preserve">Hoàn thiện cơ sở vật chất , góp phần nâng cao chất lượng dạy và học của nhà trường; </t>
  </si>
  <si>
    <t>Trường THPT Trà Bồng</t>
  </si>
  <si>
    <t>Trường THPT Ba Gia - Khối hoạt động chung, khối 6 phòng học 2 tầng và các hạng mục phụ trợ</t>
  </si>
  <si>
    <t xml:space="preserve">Trường THPT Trần Quốc Tuấn - Khối phòng học 4 tầng (24 phòng) và các hạng mục phụ trợ </t>
  </si>
  <si>
    <t>Trường THPT Đức Phổ 1 - Hạng mục Hội trường và các hạng mục phụ trợ</t>
  </si>
  <si>
    <t>Xã Đức Phổ</t>
  </si>
  <si>
    <t>Trường THPT Đức Phổ 2 - Hạng mục nhà lớp học 10 phòng và các hạng mục phụ trợ</t>
  </si>
  <si>
    <t>Trường THPT số 1 Tư Nghĩa- Hạng mục Nhà lớp học 20 phòng, nhà Bộ môn, Hội trường và các hạng mục phụ trợ</t>
  </si>
  <si>
    <t>Trường THPT Phạm Văn Đồng -Hạng mục Khu giáo dục thể chất và các hạng mục phụ trợ</t>
  </si>
  <si>
    <t>Trường THPT Nguyễn Công Trứ- Xây dựng nhà hiệu bô, hội trường, nhà lớp học và các hạng mục phụ trợ</t>
  </si>
  <si>
    <t>Trung tâm GDTX tỉnh- hạng mục Xây dựng khối phòng học, phòng học bộ môn, thư viện; khối hiệu bộ và các hạng mục phụ trợ</t>
  </si>
  <si>
    <t>Phường Trương Quan Trọng</t>
  </si>
  <si>
    <t>Trung tâm hỗ trợ PTGDHN tỉnh - dãy phòng can thiệp và hỗ trợ GDHN</t>
  </si>
  <si>
    <t>Trường THPT Sơn Mỹ - XD bể bơi và các hạng mục phụ trợ</t>
  </si>
  <si>
    <t>Trường THPT Quang Trung- Xây dựng khối phòng học bộ môn, thư viện, khối hiệu bộ, nhà công vụ giáo viên, khu giáo dục thể chất và các hạng mục phụ trợ</t>
  </si>
  <si>
    <t>Trường THPT Tây Trà - hạng mục Khu giáo dục thể và các hạng mục phụ trợ</t>
  </si>
  <si>
    <t>Trường THPT số 2 Nghĩa Hành -  Xây dựng khối hiệu bộ, khối phòng học,  khối phòng học bộ môn và các hạng mục phụ trợ</t>
  </si>
  <si>
    <t>Trường THPT Thu Xà - xây dựng Hội trường, Khu giáo dục thể chất và các hạng mục phụ trợ</t>
  </si>
  <si>
    <t>Trường THPT Lương Thế Vinh - Hạng mục Khu thể chất và các hạng mục phụ trợ</t>
  </si>
  <si>
    <t>Xã Trà Câu</t>
  </si>
  <si>
    <t>Trường THPT Đinh Tiên Hoàng - nhà bộ môn, nhà ở giáo viên và các hạng mục phụ trợ</t>
  </si>
  <si>
    <t xml:space="preserve">Trường THPT Vạn Tường </t>
  </si>
  <si>
    <t>Trường Đại học Phạm Văn Đồng - hạng mục Giải phóng mặt bằng, xây dựng tường rào (khu A+B)</t>
  </si>
  <si>
    <t>Thực hiện GPMB, xây dựng tường rào</t>
  </si>
  <si>
    <t>Hoàn thành công tác giải phóng mặt bằng Khu A, B kết hợp chỉnh trang đô thị và hoàn chỉnh cảnh quan Trường Đại học Phạm Văn Đồng.</t>
  </si>
  <si>
    <t>Trường Phổ thông DTNT THPT Tỉnh - Cải tạo ký túc xá C, hệ thống phòng cháy chữa cháy, nhà sinh hoạt cộng đồng, nhà đa năng</t>
  </si>
  <si>
    <t>Đầu tư, sửa chữa cơ sở vật chất cơ sử giáo dục đào tạo</t>
  </si>
  <si>
    <t xml:space="preserve">Trường THPT Nguyễn Công Phương; Hạng mục: nhà lớp học, khu sân chơi, bãi tập và các hạng mục phụ trợ
</t>
  </si>
  <si>
    <t>phòng học 18 phòng và các hạng mục phụ trợ</t>
  </si>
  <si>
    <t>Đảm bảo điều kiện dạy và học cho giáo viên, học sinh nhà trường. Từng bước đáp ứng cơ sở vật chất theo tiêu chuẩn của Bộ Giáo dục và đào tạo</t>
  </si>
  <si>
    <t>2026 - 2029</t>
  </si>
  <si>
    <t>Xây dựng vườn ươm doanh nghiệp đổi mới sáng tạo, không gian làm việc chung hỗ trợ khởi nghiệp sáng tạo</t>
  </si>
  <si>
    <t>Tổng diện tích sàn là 2.109,5m2</t>
  </si>
  <si>
    <t>Cơ sở vật chất, kỹ thuật và dịch vụ phục vụ ươm tạo ý tưởng, doanh nghiệp. 01 không gian sáng tạo, 01 khu vực hoạt động, sinh hoạt chung của các doanh nghiệp khởi nghiệp</t>
  </si>
  <si>
    <t xml:space="preserve">Phòng thí nghiệm Cơ - Điện tử phục vụ đào tạo và nghiên cứu </t>
  </si>
  <si>
    <t>Đầu tư, nâng cấp cơ sở vật chất của trường (Phòng thí nghiệm Đo lường - Cảm biến, Phòng thí nghiệm PLC và Vi điều khiển, Phòng thí nghiệm Sản xuất tự động,…)</t>
  </si>
  <si>
    <t>Cải tạo sân vận động huyện Tư Nghĩa</t>
  </si>
  <si>
    <t>Diện tích khuôn viên sân vận động hiện trạng: 14.280,00m2., Diện tích khuôn viên công viên cây xanh: 5.605,00m2, Tháo dỡ toàn bộ tường rào, cổng ngõ, khán đài, sân khấu phía Tây và mái che sân khấu phía Đông để cải tạo lại. Tổng diện tích Sân vận động sau cải tạo: 19.850,00m2.</t>
  </si>
  <si>
    <t>Việc đầu tư xây dựng Cải tạo sân vận động huyện Tư Nghĩa nhằm tạo điểm nhấn kiến trúc cảnh quan cho huyện, tạo không gian văn hoá, luyện tập và thi đấu thể dục thể thao, sinh hoạt, tao đổi thông tin, nâng cao đời sống tinh thần; hoàn thiện quy hoạch tổng thể, thúc đẩy phát triển kinh tế, văn hoá – xã hội của đia phương.</t>
  </si>
  <si>
    <t>Mở rộng Sân vận động Khu văn hóa thể thao Trung tâm huyện</t>
  </si>
  <si>
    <t>Diện tích sân vận động 3,2ha</t>
  </si>
  <si>
    <t>Việc đầu tư khu văn hóa thể thao là rất cần thiết vì nó mang lại nhiều lợi ích thiết thực cho cộng đồng, bao gồm nâng cao đời sống tinh thần, sức khỏe, và gắn kết cộng đồng</t>
  </si>
  <si>
    <t>Trung tâm văn hóa thể dục thể thao xã Sơn Mai</t>
  </si>
  <si>
    <t>Diện tích khoảng 1,0ha</t>
  </si>
  <si>
    <t>Phục dựng, tôn tạo di tích lịch sử hầm Bà Noa</t>
  </si>
  <si>
    <t>Phục dựng tôn tạo di tích  lịch sử; Diện tích QH xây dựng 2.028m2</t>
  </si>
  <si>
    <t>Tăng cường công tác quản lý đối với các di tích lịch sử cánh mạng, đẩy mạnh công tác tuyên truyền trong nhân dân về ý nghĩa giá trị di tích lịch sử văn hóa cách mạng và danh lam thắng cảnh; bảo tồn, phát huy các các giá trị văn hóa lịch sử cách mạng và danh lam thắng cảnh gắn với giáo dục truyền thống cách mạng, yêu nước; góp phần phát huy giá trị tinh thần trong việc giáo dục, nuôi dưỡng, lưu truyền truyền thống cách mạng và bản sắc văn hóa dân tộc; ngoài ra công trình góp phần làm phong phú loại hình du lịch văn hóa lịch sử và danh lam thắng cảnh của địa phương, nâng cao truyền thống giáo dục cho những thế hệ mai sau</t>
  </si>
  <si>
    <t xml:space="preserve"> Xây dựng Khu trung tâm thể dục thể thao phường Đức Phổ</t>
  </si>
  <si>
    <t>Đầu tư xây dựng phục vụ các sự kiện thể dục thể thao của phường</t>
  </si>
  <si>
    <t>Đường vào Khu di tích Quốc gia đặc biệt Sa Huỳnh (phía Bắc Đầm An Khê)</t>
  </si>
  <si>
    <t>Kết nối hạ tầng giao thông đến khu di chỉ văn hóa sa huỳnh, tạo điều kiện thuận lợi cho du khách đến tham quan và nghiên cứu khu di chỉ văn hóa Sa Huỳnh và góp phần thúc đẩy kinh tế địa phương</t>
  </si>
  <si>
    <t>Xây dựng Khu hành chính; khu nhà ở và khu tập luyện vận động viên</t>
  </si>
  <si>
    <t>TP Quảng Ngãi</t>
  </si>
  <si>
    <t xml:space="preserve">Góp phần nâng cao đào tạo vận động viên thành tích cao của tỉnh, </t>
  </si>
  <si>
    <t>Ứng dụng hệ sinh thái đầu tư thương mại, du lịch thông minh</t>
  </si>
  <si>
    <t xml:space="preserve">Trung tâm Xúc tiến Đầu tư, Thương mại và Du lịch tỉnh </t>
  </si>
  <si>
    <t>Tại các điểm du lịch</t>
  </si>
  <si>
    <t>Phát triển hình ảnh điểm đến tiềm năng, thân thiện, và hiện đại góp phần phát triển DL</t>
  </si>
  <si>
    <t>Xây dựng 03 Pano màng hình led quảng bá du lịch tỉnh Quảng Ngãi tại các cửa ngõ du lịch Trung tâm tỉnh</t>
  </si>
  <si>
    <t xml:space="preserve"> tại các cửa ngõ du lịch Trung tâm tỉnh</t>
  </si>
  <si>
    <t>Nhằm tuyên truyền, quảng bá về tiềm năng du lịch</t>
  </si>
  <si>
    <t>Cải tạo khuôn viên, bổ sung khu trưng bày ngoài trời của Bảo tàng tổng hợp tỉnh</t>
  </si>
  <si>
    <t>Bao gồm các hạng mục Khu trưng bày hiện vật cách mạng kháng chiến thể khối lớn và Chỉnh trang khuôn viên Bảo tàng tổng hợp</t>
  </si>
  <si>
    <t xml:space="preserve">Xây dựng công trình Trưng bày bảo tàng ngoài trời với một tổng thể công trình: Bảo tàng tỉnh, các hạng mục công trình Văn hóa - Lịch sử - Không gian cảnh quan tiêu biểu tỉnh Quảng Ngãi, nhằm sưu tầm, bảo tồn, giới thiệu các giá trị di sản văn hóa địa phương. Đây cũng là không gian sinh hoạt văn hóa cho nhân dân trong tỉnh; nơi tổ chức kỷ niệm các sự kiện trọng đại của đất nước, của tỉnh. 
 Xây dựng công trình Trưng bày bảo tàng ngoài trời, khắc phục được những hạn chế của Hệ thống trưng bày hiện tại: Diện tích không gian cảnh quan hạn chế; tài liệu hiện vật nhỏ, lẻ nên chưa thể giới thiệu đầy đủ, sinh động các giá trị văn hóa, lịch sử địa phương. 
</t>
  </si>
  <si>
    <t>Trùng tu, tôn tạo di tích Quốc gia Mộ và nhà thờ Trần Cẩm (giai đoạn 2)</t>
  </si>
  <si>
    <t>Các xã Mộ Đức, Mỏ Cày</t>
  </si>
  <si>
    <t>Tu bổ di tích</t>
  </si>
  <si>
    <t>Đề án phê duyệt tại Quyết định số 51/QĐ-UBND ngày 14/01/2022</t>
  </si>
  <si>
    <t>Tôn tạo di tích Quốc gia Đặc biệt Văn hóa Sa Huỳnh</t>
  </si>
  <si>
    <t>Bảo quản, tu bổ, phục hồi di tích Quốc gia Đặc biệt theo Đề án Bảo tồn và phát huy giá trị hệ thống di tích lịch sử văn hóa, danh lam thắng cảnh trên địa bàn tỉnh Quảng Ngãi đến năm 2030</t>
  </si>
  <si>
    <t>Tôn tạo di tích Quốc gia Đền thờ Trương Định</t>
  </si>
  <si>
    <t>Bảo quản, tu bổ, phục hồi di tích Quốc gia theo Đề án Bảo tồn và phát huy giá trị hệ thống di tích lịch sử văn hóa, danh lam thắng cảnh trên địa bàn tỉnh Quảng Ngãi đến năm 2030</t>
  </si>
  <si>
    <t>Trùng tu, tôn tạo di tích Quốc gia Thành cổ Châu Sa</t>
  </si>
  <si>
    <t>Trùng tu, tôn tạo di tích Quốc gia núi Phú Thọ và Cổ Lũy Cô Thôn</t>
  </si>
  <si>
    <t>Trùng tu, tôn tạo di tích Quốc gia Đình Làng An Định</t>
  </si>
  <si>
    <t>Trùng tu, tôn tạo di tích Quốc gia Điện Trường Bà</t>
  </si>
  <si>
    <t>Trùng tu, tôn tạo di tích Quốc gia Cuộc khởi nghĩa Trà Bồng và Miền Tây Quảng Ngãi</t>
  </si>
  <si>
    <t>Tại các xã Trà Bồng, Tây Trà, Thanh Bồng, Tây Trà Bồng</t>
  </si>
  <si>
    <t>Tôn tạo di tích Quốc gia Trường Lũy Quảng Ngãi</t>
  </si>
  <si>
    <t>Tại các điểm di tích</t>
  </si>
  <si>
    <t>Bảo quản, tu bổ, phục hồi di tích Quốc gia  theo Đề án Bảo tồn và phát huy giá trị hệ thống di tích lịch sử văn hóa, danh lam thắng cảnh trên địa bàn tỉnh Quảng Ngãi đến năm 2030</t>
  </si>
  <si>
    <t xml:space="preserve">Xây dựng mới khu nội trú, tập luyện (500 VĐV)  391A Nguyễn Công phương, Phường Nghĩa Lộ;
 </t>
  </si>
  <si>
    <t>Phường Nghĩa Lộ;</t>
  </si>
  <si>
    <t>Xây mới</t>
  </si>
  <si>
    <t>Đảm bảo điều kiện học tập và tập luyện của vận động viên</t>
  </si>
  <si>
    <t>Xây dựng trụ Sở làm việc Trung tâm huấn luyện và thi đấu tại 476 Lê Lợi, Phường Nghĩa Lộ</t>
  </si>
  <si>
    <t>Đảm bảo điều kiện làm việc và hoạt động của Trung tâm góp phần hoàn thành nhiệm vụ của cấp có thẩm quyền giao</t>
  </si>
  <si>
    <t>Dự án Chuyển đổi số cho hệ thống thông tin cơ sở, thông tin đối ngoại tỉnh Quảng Ngãi</t>
  </si>
  <si>
    <t>Toàn tỉnh</t>
  </si>
  <si>
    <t>Đầu tư mới, nâng cấp</t>
  </si>
  <si>
    <t>Đầu tư mới; nâng cấp hệ thống thông tin cơ sở tại tất cả 96 xã, phường, đặc khu trên địa bàn tỉnh</t>
  </si>
  <si>
    <t>Quyết định số 749/QĐ-TTg ngày 03/06/2020 của Thủ tướng Chính phủ về việc phê duyệt “Chương trình Chuyển đổi số quốc gia đến năm 2025, định hướng đến năm 2030”; Kế hoạch số 119/KH-UBND ngày 09/10/2020 của Ủy ban nhân dân tỉnh Quảng Ngãi ban hành Kế hoạch triển khai thực hiện chương trình chuyển đổi số quốc gia đến năm 2025, định hướng đến năm 2030 của tỉnh Quảng Ngãi</t>
  </si>
  <si>
    <t>Bảo quản, tu bổ phục hồi di tích Quốc gia đặc biệt Địa điểm về cuộc khởi nghĩa Ba Tơ</t>
  </si>
  <si>
    <t>Hoạt động của các cơ quan quản lý nhà nước, đơn vị sự nghiệp công lập, tổ chức chính trị và các tổ chức chính trị-xã hội</t>
  </si>
  <si>
    <t>Trang thiết bị hoạt động nghiệp vụ lưu trữ và bảo quản tài liệu lưu trữ tỉnh Quảng Ngãi (điều chỉnh)</t>
  </si>
  <si>
    <t>Sửa chữa, nâng cấp Trung tâm Lưu trữ lịch sử</t>
  </si>
  <si>
    <t xml:space="preserve">Dự án Nâng cấp, bổ sung các trang thiết bị quan trắc môi trường </t>
  </si>
  <si>
    <t>Sửa chữa trụ sở làm việc Ban Quản lý dự án ĐTXD khu vực Tư Nghĩa</t>
  </si>
  <si>
    <t>xã Tư Nghĩa</t>
  </si>
  <si>
    <t>Hoàn thiện cơ sở vật chất của đơn vị</t>
  </si>
  <si>
    <t>Trụ sở trung tâm hành chính xã Lân Phong</t>
  </si>
  <si>
    <t>Khối nhà  làm việc Đảnh ủy, HĐND, UBND, UBMTTQ VN xã; TT hành chính công; Hội trường; Đường giao thông, hạ tầng kỹ thuật...</t>
  </si>
  <si>
    <t>Đảm bảo quy mô, công năng sử dụng phù hợp với xã mới sau sáp nhập, đáp ứng yêu cầu làm việc cho Đảng ủy, HĐND,UBND và các tổ chức đoàn thể; Nâng cao hiệu quả phục vụ nhân dân, tạo điều kiện thuận lợi  cho người dân khi đến liên hệ, giải quyết thủ tục hành chính tại Trung tâm hành chính công; xây dựng hình ảnh chính quyền thân thiện, chuyên nghiệp; Thông qua quy hoạch lại không gian trung tâm xã mới, gắn với định hướng phát triển lâu dài về kinh tế - xã hội, quốc phòng an ninh của địa phương</t>
  </si>
  <si>
    <t>Trụ sở trung tâm hành chính xã Mỏ Cày</t>
  </si>
  <si>
    <t>Trụ sở trung tâm hành chính xã Long Phụng</t>
  </si>
  <si>
    <t>Xây dựng trụ sở làm việc HĐND tỉnh và đoàn Đại biểu quốc hội</t>
  </si>
  <si>
    <t>Đảm bảo hoạt động, chỉ đạo, điều hành của HĐND và đoàn Đại biểu Quốc hội; Hình thành trung tâm hành chính cấp tỉnh; góp phần chỉnh trang đô thị trung tâm thành phố</t>
  </si>
  <si>
    <t>Xây dựng trụ sở làm việc Sở thông tin truyền thông</t>
  </si>
  <si>
    <t>Đảm bảo điều kiện làm việc của cán bộ Sở Thông tin và Truyền thông; đồng thời hoàn thiện cơ sở vật chất, tạo điều thuận lợi cho người dân đến liên hệ công tác</t>
  </si>
  <si>
    <t>Xây dựng trụ sở làm việc Sở Y tế</t>
  </si>
  <si>
    <t>Góp phần hoàn thiện cơ sở vật chất thuộc ngành y tế; nâng cao môi trường làm việc, góp phần hoàn thành các nhiệm vụ được cấp thẩm quyền giao</t>
  </si>
  <si>
    <t>Xây dựng Trụ sở làm việc Tỉnh đoàn và Trung tâm Thiếu nhi tỉnh</t>
  </si>
  <si>
    <t>Đảm bảo điều kiện làm việc và hoạt động của Tỉnh đoàn và Trung tâm, đảm bảo an toàn, điều kiện sinh hoạt cho các em thanh thiếu nhi khi tham gia các hoạt động tại đây; góp phần chỉnh trang đô thị trục đường Hùng Vương và khu vực trung tâm thành phố</t>
  </si>
  <si>
    <t>Cấp nước, thoát nước</t>
  </si>
  <si>
    <t>Hệ thống nước Thác Trắng - Trung tâm huyện</t>
  </si>
  <si>
    <t>1.00m3/ ngày, đêm</t>
  </si>
  <si>
    <t>- Đầu tư xây dựng một hệ thống cấp nước tiên tiến, vận hành hiệu quả đáp ứng nhu cầu nước sạch nông thôn của Huyện, góp phần phát triển kinh tế xã hội địa phương.</t>
  </si>
  <si>
    <t>Hệ thống thoát nước Tuyến đường Cầu Đập - Phước Xã (ĐH 35C)</t>
  </si>
  <si>
    <t>L=1,2Km</t>
  </si>
  <si>
    <t>Bị ngập úng khi mưa</t>
  </si>
  <si>
    <t>Hệ thống thoát nước Thôn Phước Thịnh, xã Mỏ Cày</t>
  </si>
  <si>
    <t>Hệ thống thoát nước các tuyến đường đô thị Đức Phổ</t>
  </si>
  <si>
    <t>khẩu độ từ D300-D2000</t>
  </si>
  <si>
    <t>đầu tư một số tuyến ống thoát nước mưa kết nối đảm bảo đồng bộ quy hoạch đã được phê duyệt, giải quyết một số vị trí ngập lụt cục bộ trên các tuyến đường nội thị</t>
  </si>
  <si>
    <t>2026 -2028</t>
  </si>
  <si>
    <t>Hệ thống thoát nước các tuyến đường đô thị Trà Câu</t>
  </si>
  <si>
    <t>khẩu độ từ D400-D2000</t>
  </si>
  <si>
    <t xml:space="preserve">Thoát nước mưa các tuyến đường trục chính đô thị </t>
  </si>
  <si>
    <t>Hệ thống thoát nước các tuyến đường đô thị Sa Huỳnh</t>
  </si>
  <si>
    <t>Hệ thống nước sạch Phổ Cường - Phổ Khánh (giai đoạn 2)</t>
  </si>
  <si>
    <t>Cung cấp nước sạch phục vụ đời sống nhân dân</t>
  </si>
  <si>
    <t>Dự án phát triển hạ tầng thích ứng thành phố Quảng Ngãi</t>
  </si>
  <si>
    <t>Gồm 02 hợp phần: (1) Hạ tầng chống ngập và chống lũ sông thích ứng, (2) Hạ tầng thu gom và xử lý nước thải thích ứng</t>
  </si>
  <si>
    <t>Tập trung giải quyết vấn đề ngập úng và môi trường cho khu vực trung tâm của thành phố  Quảng Ngãi. Đồng thời, phát triển đô thị và kinh tế xã hội thành phố Quảng Ngãi, đảm bảo bền vững về môi trường và thích ứng với biến đổi khí hậu khu vực, góp phần phát triển đô thị bền vững.</t>
  </si>
  <si>
    <t>2028-2032</t>
  </si>
  <si>
    <t>Lĩnh vực CCN, Khu công nghiệp và khu kinh tế</t>
  </si>
  <si>
    <t>Dự án Đầu tư xây dựng các Khu tái định cư trong đô thị Vạn Tường (Giai đoạn 1)</t>
  </si>
  <si>
    <t>57,5ha; 1.500 lô</t>
  </si>
  <si>
    <t>Phục vụ kịp thời cho việc tái định cư các hộ dân bị ảnh hưởng giải tỏa, di dời tại xã Vạn Tường trong quá trình thực hiện các dự án trên địa bàn KKT Dung Quất, đặc biệt là các dự án thuộc khu vực cảng Dung Quất; đồng thời sẽ hình thành các khu dân cư tập trung, góp phần quan trọng trong việc phát triện đô thị Vạn Tường</t>
  </si>
  <si>
    <t>Nâng cấp, mở rộng  tuyến đường Quốc lộ 24C (đoạn từ ngã tư Bình Thuận đến cảng Dung Quất)</t>
  </si>
  <si>
    <t>6,5Km</t>
  </si>
  <si>
    <t>Đáp ứng kịp thời nhu cầu hoạt động sản xuất kinh doanh, vận chuyển hàng hóa của các doanh nghiệp; đồng thời, từng bước hoàn thiện hệ thống hạ tầng giao thông trên địa bàn, góp phần thúc đẩy phát triển kinh tế - xã hội và nâng cao đời sống cho người dân trong khu vực.</t>
  </si>
  <si>
    <t>Khu tái định cư Bình Hòa</t>
  </si>
  <si>
    <t>33ha</t>
  </si>
  <si>
    <t>Đầu tư đồng bộ theo quy hoạch và kết nối hạ tầng toàn KDC với các tuyến đường trục chính trong khu vực; tiếp tục tạo quỹ đất tái định cư phục vụ kịp thời công tác bồi thường, GPMB, hỗ trợ à tái định cư cho dự án KCN-ĐT-DV Bình Thanh và các dự án khác trên địa bàn KKT Dung Quất</t>
  </si>
  <si>
    <t>Khu tái định cư Mẫu Trạch (giai đoạn 2)</t>
  </si>
  <si>
    <t>30ha</t>
  </si>
  <si>
    <t>Tạo quỹ đất tái định cư phục vụ kịp thời công tác bồi thường, GPMB, hỗ trợ và tái định cư cho các dự án tại KCN phía Tây Dung Quất (khu đô thị Dốc Sỏi, các dự án đầu tư hạ tầng giao thông)</t>
  </si>
  <si>
    <t>Xây dựng hệ thống thoát nước mưa khu vực phía Tây và phía Đông sông Trà Bồng KKT Dung Quất</t>
  </si>
  <si>
    <t>Xây dựng hoàn thiện hệ thống hạ tầng thoát nước theo quy hoạch được duyệt đảm bảo mục tiêu thoát nước trong mùa mưa bão góp phần duy trì sinh hoạt, hoạt động ổn định của các doanh nghiệp và người dân trên địa bàn</t>
  </si>
  <si>
    <t>Nâng cấp Trạm kiểm soát liên hợp cửa khẩu quốc tế Bờ Y</t>
  </si>
  <si>
    <r>
      <t>Nâng cấp Trạm kiểm soát liên hợp cửa khẩu quốc tế Bờ Y</t>
    </r>
    <r>
      <rPr>
        <i/>
        <sz val="10"/>
        <color indexed="8"/>
        <rFont val="Times New Roman"/>
        <family val="1"/>
      </rPr>
      <t xml:space="preserve"> </t>
    </r>
    <r>
      <rPr>
        <sz val="10"/>
        <color indexed="8"/>
        <rFont val="Times New Roman"/>
        <family val="1"/>
      </rPr>
      <t>để</t>
    </r>
    <r>
      <rPr>
        <i/>
        <sz val="10"/>
        <color indexed="8"/>
        <rFont val="Times New Roman"/>
        <family val="1"/>
      </rPr>
      <t xml:space="preserve"> </t>
    </r>
    <r>
      <rPr>
        <sz val="10"/>
        <color indexed="8"/>
        <rFont val="Times New Roman"/>
        <family val="1"/>
      </rPr>
      <t>đáp ứng yêu cầu trong quá trình kiểm soát vận chuyển hàng hóa qua cửa khẩu.</t>
    </r>
  </si>
  <si>
    <t>Nâng cấp Hệ thống xử lý nước thải KCN Sao Mai</t>
  </si>
  <si>
    <t>KCN Sao Mai</t>
  </si>
  <si>
    <t>1.500m3/ngày đêm</t>
  </si>
  <si>
    <t>Nâng cấp hệ tống xử lý nước thải KCN Sao Mai từ 500m3/ngày đêm lên 1.500m3/ngày đêm để đáp ứng nhu cầu xử lý nước thải của các doanh nghiệp trong KCN Sao Mai theo quy định Luật Môi trường</t>
  </si>
  <si>
    <t>Đầu tư hạ tầng Cụm công nghiệp Ba Động</t>
  </si>
  <si>
    <t>xã Ba Động</t>
  </si>
  <si>
    <t>Hoàn thiện cơ sở hạ tầng thiết yếu tại cụm công nghiệp, nhằm thu hút các doanh nghiệp đầu tư vào khu công nghiệp, góp phần thúc đẩy phát triển kinh tế xã hội của địa phương</t>
  </si>
  <si>
    <t>Hệ thống thu gom nước thải, trạm xử lý nước thải tập trung Cụm công nghiệp Quán Lát</t>
  </si>
  <si>
    <t>Xã Mỏ cày và xã Long Phụng</t>
  </si>
  <si>
    <t xml:space="preserve">Góp phần hoàn thiện kế cấu hạ tầng của cụm công nghiệp theo hướng đồng bộ, hiện đại và đáp ứng yêu cầu phát triển lâu dài, thân thiện và bền vững, từ đó thu hút các nhà đầu tư góp phần thúc đẩy kinh tế đại phương. Hướng tới phát triển công nghiệp thân thiện với môi trường, giảm thiểu tác động tiêu cực đến cộng đồng dân cư </t>
  </si>
  <si>
    <t>Khu xử lý 2.053 m2 và hệ thống đường ống thu gom nước thải về khu xử lý tập trung theo QH đã được duyệt</t>
  </si>
  <si>
    <t>Hệ thống thu gom nước thải, trạm xử lý nước thải tập trung Cụm công nghiệp Thạch Trụ</t>
  </si>
  <si>
    <t>Khu xử lý 3.725 m2 và hệ thống đường ống thu gom nước thải về khu xử lý tập trung theo QH đã được duyệt</t>
  </si>
  <si>
    <t>Quy hoạch 1-500 Cụm công nghiệp Núi Dâu</t>
  </si>
  <si>
    <t>&gt;50ha</t>
  </si>
  <si>
    <t>Phục vụ đầu tư hạ tầng Cụm công nghiệp Núi Dâu</t>
  </si>
  <si>
    <t>Đầu tư xây dựng hạ tầng Cụm công nghiệp Núi Dâu</t>
  </si>
  <si>
    <t>Xây dựng hệ thống thoát nước mưa khu vực phía Tây và phía Đông sông Trà Bồng Khu kinh tế Dung Quất</t>
  </si>
  <si>
    <t>Bình Sơn</t>
  </si>
  <si>
    <t>Xây dựng hoàn thiện hệ thống hạ tầng thoát nước theo quy hoạch được duyệt dảm bảo mục tiêu thoát nước trong mùa mưa bão góp phần duy trì sinh hoạt, hoạt động ổn định của các doanh nghiệp và người dân trên địa bàn</t>
  </si>
  <si>
    <t>Khu tái định cư Vạn Tường mở rộng</t>
  </si>
  <si>
    <t>10ha</t>
  </si>
  <si>
    <t>Phục vụ kịp thời cho việc tái định cư các hộ dân bị ảnh hưởng giải tỏa, di dời tại xã Bình Thuận trong quá trình thực hiện các dự án trên địa bàn KKT Dung Quất, đặc biệt là các dự án thuộc khu vực cảng Dung Quất; đồng thời, sẽ hình thành các khu dân cư tập trung, góp phần quan trọng trong việc phát triển đô thị tại Vạn Tường.</t>
  </si>
  <si>
    <t>Khu tái định cư xã Bình Trị</t>
  </si>
  <si>
    <t>Tạo quỹ đất tái định cư phục vụ kịp thời công tác bồi thường, GPMB, hỗ trợ và tái định cư cho các dự án tại tại KCN phía Tây Dung Quất (khu đô thị Dốc Sỏi, các dự án đầu tư hạ tầng giao thông)</t>
  </si>
  <si>
    <t>Đầu tư đồng bộ theo quy hoạch và kết nối hạ tầng toàn KDC với các tuyến đường trục chính trong khu vực; tiếp tục tạo quỹ đất tái định cư phục vụ kịp thời công tác bồi thường, GPMB, hỗ trợ và tái định cư cho dự án KCN-ĐT-DV Bình Thanh và các dự án khác trên địa bàn KKT Dung Quất.</t>
  </si>
  <si>
    <t>Nghĩa trang Động Doan mở rộng (xã Tịnh Phong)</t>
  </si>
  <si>
    <t>Sơn Tịnh</t>
  </si>
  <si>
    <t>05ha</t>
  </si>
  <si>
    <t>Đáp ứng nhu cầu di dời mồ mả phục vụ công tác giải phóng mặt bằng cho các dự án đầu tư, đồng thời phục vụ chôn cất mới tại xã Tịnh Phong và các vùng lân cận, góp phần quy tập mồ mả theo đúng quy hoạch, đảm bảo mỹ quan và vệ sinh môi trường</t>
  </si>
  <si>
    <t>k</t>
  </si>
  <si>
    <t>Dự án: Xây dựng Cống tràn liên hợp KT: 3(360x360)cm tại vị trí Km177+290 (Đường dọc tuần tra biên giới đồn Biên phòng Đắk Blô (665) – Sông Thanh (663))</t>
  </si>
  <si>
    <t>Xã Đăk Plô, tỉnh Quảng Ngãi</t>
  </si>
  <si>
    <t>Mặt đường BTXM hiện trạng bị cuốn trôi hoàn toàn (L=32,0m); cống thoát nước ngang hiện trạng (cống hộp 3x350x350cm) bị vùi lấp khoảng 2/3 chiều cao thân, hạ lưu cống cũng bị bồi lấp làm giảm khả năng thoát nước của cống; mái taluy gia cố thượng lưu (L=18,0m) bằng đá hộc xây VXM bị hư hỏng, chân khay gia cố bị xói lở sụt lún hư hỏng. cọc tiêu hiện trạng bị gãy đỗ. Các phương tiện không thể lưu thông qua lại khu vực này gây ảnh hưởng rất lớn đến quá trình tuẩn tra kiểm soát biên giới của các chiến sỹ</t>
  </si>
  <si>
    <t>Dự án: Xây dựng mới Đồn Biên phòng Phổ Quang</t>
  </si>
  <si>
    <t>Phường Trà Câu, tỉnh Quảng Ngãi</t>
  </si>
  <si>
    <t>Các hạng mục là công trình cấp 4, xây dựng từ các năm 1995 – 1997 và 2006, hầu hết đã hư hỏng, xuống cấp, không đảm bảo an toàn trong quá trình sử dụng. Diện tích xây dựng không đủ cho sinh hoạt và làm việc cho CBCS của đơn vị</t>
  </si>
  <si>
    <t>Dự án: Xây dựng nhà ở CBCS đội tàu Hải đội 2 BP, đội công tác địa bàn đồn BP Bình Hải</t>
  </si>
  <si>
    <t>Xã Đông Sơn, tỉnh Quảng Ngãi</t>
  </si>
  <si>
    <t>Chưa được đầu tư xây dựng</t>
  </si>
  <si>
    <t>Dự án: Khắc phục, sửa chữa Đường từ xã Sa Loong vào Đồn Biên phòng 701 và Đường vào Đồn Biên phòng 705</t>
  </si>
  <si>
    <t>Xã Sa Loong
Xã Rờ Kơi</t>
  </si>
  <si>
    <t>Đường từ xã Sa Loong vào Đồn Biên phòng 701 và Đường vào Đồn Biên phòng 705 được đầu tư từ những năm 2006÷2009, qua hơn 14 năm sử dụng các tuyến đường trên đã xuống cấp rất nghiêm trọng, đặc biệt bị hư hỏng nặng nề do ảnh hưởng của các cơn bão gây ra mưa lớn, lũ quét đã làm sạt lở đất đá xuống nền đường, các phương tiện giao thông không thể qua lại được. Các tuyến đường trên là đường huyết mạch để vào xã Rờ Kơi Đồn Biên phòng 705; xã Sa Loong Đồn Biên phòng 701 và ra Biên giới Việt Nam - Campuchia, là tuyến đường quan trọng để cơ động lực lượng Bảo vệ Biên giới trong tình hình mới của tỉnh Kon Tum, đồng thời cũng là đường để các lực lượng làm nhiệm vụ Quốc phòng - An ninh của 02 xã trên cũng như cơ động lực lượng để giải quyết các vấn đề cấp bách nảy sinh, cứu hộ, cứu nạn và giúp nhân dân trong khu vực phát triển Kinh tế - Xã hội</t>
  </si>
  <si>
    <t>Dự án: Xây dựng mới Trạm KSBP Cửa khẩu cảng Dung Quất</t>
  </si>
  <si>
    <t>Xã Vạn Tường, tỉnh Quảng Ngãi</t>
  </si>
  <si>
    <t>Dự án: Xây dựng Bổ sung các hạng mục Đồn Biên phòng Đức Minh</t>
  </si>
  <si>
    <t>Xã Mỏ Cày, tỉnh Quảng Ngãi</t>
  </si>
  <si>
    <t>Một số hạng mục là công trình cấp 4, xây dựng từ các năm 1995 – 2000, hầu hết đã hư hỏng, xuống cấp, không đảm bảo an toàn trong quá trình sử dụng. Diện tích xây dựng không đủ cho sinh hoạt và làm việc cho CBCS của đơn vị</t>
  </si>
  <si>
    <t>Dự án: Mua sắm, lắp đặt hệ thống Thông tin liên lạc phục vụ nhiệm vụ diễn tập, điều hành, PCTT-TKCN, CH cho các đơn vị thuộc BĐBP tỉnh</t>
  </si>
  <si>
    <t>Chưa được đầu tư</t>
  </si>
  <si>
    <t>Dự án: Sửa chữa, cải tạo Trạm KSBP Mỹ Á</t>
  </si>
  <si>
    <t>Công trình cấp 4, xây dựng năm 2012, đã hư hỏng, xuống cấp</t>
  </si>
  <si>
    <t>Dự án: Sửa chữa, cải tạo Cơ quan Ban CHQS Bộ đội Biên Phòng/Bộ CHQS tỉnh Quảng Ngãi</t>
  </si>
  <si>
    <t>Phường Đắk Cấm, tỉnh Quảng Ngãi</t>
  </si>
  <si>
    <t>Nâng cấp, sửa chữa nhà làm Sở chỉ huy Ban Chỉ huy bộ đội biên phòng tỉnh</t>
  </si>
  <si>
    <t>m</t>
  </si>
  <si>
    <t>Hạ tầng kỹ thuật đô thị</t>
  </si>
  <si>
    <t>Hệ thống điện chiếu sáng đường tỉnh lộ 624 (đoạn giáp ranh huyện Nghĩa Hành đến trung tâm huyện Minh Long từ lý trình Km18+600 – Km26+100)</t>
  </si>
  <si>
    <t>Chiều dài tuyến L= 7500m</t>
  </si>
  <si>
    <t>- Việc đầu tư hệ thống điện chiếu sáng, đặc biệt là chiếu sáng công cộng, là rất cần thiết vì nó mang lại nhiều lợi ích cho cả cộng đồng và môi trường. Hệ thống chiếu sáng tốt giúp đảm bảo an ninh, an toàn, nâng cao chất lượng cuộc sống, tiết kiệm năng lượng và bảo vệ môi trường. </t>
  </si>
  <si>
    <t>Hệ thống điện chiếu sáng đường tỉnh lộ 628 xã Sơn Mai</t>
  </si>
  <si>
    <t>Chiều dài tuyến L= 1500m</t>
  </si>
  <si>
    <t>Công viên cây xanh trung tâm xã Sơn Mai</t>
  </si>
  <si>
    <t>Diện tích khoảng 0,5ha</t>
  </si>
  <si>
    <t>- Công viên cây xanh là một trong những công trình quan trọng, nhằm đáp ứng nhu cầu nghỉ ngơi, vui chơi giải trí của người dân, cải thiện môi trường, hình thành không gian xanh cho đô thị.</t>
  </si>
  <si>
    <t>Khu xử lý chất thải rắn sinh hoạt</t>
  </si>
  <si>
    <t>3ha</t>
  </si>
  <si>
    <t>Nhằm đáp ứng nhu cầu phân loại, xử lý chất thải rắn sinh hoạt, bảo vệ môi trường cảnh quang, tạo điều kiện phát triển kinh tế xã hội</t>
  </si>
  <si>
    <t>Khu chôn lấp rác thải sinh hoạt các xã: Long Phụng, Mỏ Cày, Mộ Đức, Lân Phong</t>
  </si>
  <si>
    <t>Xã Long Phụng, xã Mỏ Cày, xã Mộ Đức, xã Lân Phong</t>
  </si>
  <si>
    <t xml:space="preserve">Giải quyết nguồn rác thải của các địa phương ngày càng tăng </t>
  </si>
  <si>
    <t>Công viên Phổ Quang</t>
  </si>
  <si>
    <t>Phục vụ đời sống nhân dân, tạo cảnh quang</t>
  </si>
  <si>
    <t>Hệ thống điện chiếu sáng trên địa bàn phường Sa Huỳnh</t>
  </si>
  <si>
    <t>Chiếu sáng phục vụ nhân dân, nâng tầm đô thị</t>
  </si>
  <si>
    <t>Hệ thống điện chiếu sáng trên địa bàn phường Trà Câu</t>
  </si>
  <si>
    <t>Công viên phường Trà Câu</t>
  </si>
  <si>
    <t>Quy hoạch chi tiết 1/500 phía Tây đường Lý Thái Tổ</t>
  </si>
  <si>
    <t xml:space="preserve">Phục vụ đấu giá đất thu tiền sử dụng đất </t>
  </si>
  <si>
    <t>Khu dân cư  phía Tây đường Lý Thái Tổ</t>
  </si>
  <si>
    <t>Quy hoạch chi tiết 1/500 Khu dân cư Đông Phổ Thạnh</t>
  </si>
  <si>
    <t>Khu dân cư Đông Phổ Thạnh</t>
  </si>
  <si>
    <t>Quy hoạch chi tiết 1/500 Khu dân cư phía Bắc Trường Tiểu học Phổ Văn</t>
  </si>
  <si>
    <t>Khu dân cư phía Bắc Trường Tiểu học Phổ Văn</t>
  </si>
  <si>
    <t>Cải tạo, tái sử dụng hố chôn lấp thuộc quy hoạch phân khu khu xử lý chất thải rắn Nghĩa Kỳ</t>
  </si>
  <si>
    <t>5,6 a</t>
  </si>
  <si>
    <t>n</t>
  </si>
  <si>
    <t>Hạ tầng nông thôn</t>
  </si>
  <si>
    <t>Khu tái định cư đội 3, thôn Trà Niu, xã Trà Phong, huyện Trà Bồng</t>
  </si>
  <si>
    <t>Bố trí cho 85 hộ dân</t>
  </si>
  <si>
    <t>Khu tái định cư đội 1, thôn Trà Veo, xã Trà Xinh, huyện Trà Bồng</t>
  </si>
  <si>
    <t>Bố trí cho 38 hộ dân</t>
  </si>
  <si>
    <t>Khu tái định cư Nước Toa, thôn Mang Tà Bể, xã Sơn Bua, huyện Sơn Tây</t>
  </si>
  <si>
    <t>Xã Sơn Tây thượng</t>
  </si>
  <si>
    <t>Bố trí cho 58 hộ dân</t>
  </si>
  <si>
    <t>Khu TĐC tập trung Hà Tăng, xã Sơn Dung, huyện Sơn Tây</t>
  </si>
  <si>
    <t>Bố trí cho 37 hộ dân</t>
  </si>
  <si>
    <t>Khu tái định cư tập trung Gò Nu, Tổ 6, thôn Gò Khôn, xã Ba Giang, huyện Ba Tơ</t>
  </si>
  <si>
    <t>Bố trí cho 24 hộ dân</t>
  </si>
  <si>
    <t>Khu tái định cư tập trung Tổ Sa Lung, thôn Cây Muối, xã Ba Trang, huyện Ba Tơ</t>
  </si>
  <si>
    <t xml:space="preserve">Khu TĐC Tổ 7,8 thôn Vàng - xã Trà Tây </t>
  </si>
  <si>
    <t>Bố trí cho 29 hộ dân</t>
  </si>
  <si>
    <t>Dự án: Dự án Bố trí ổn định dân di cư tự cấp bách khu vực biên giới Đăk Long, xã Đăk Nhoong, xã Đăk Plô, huyện Đăk Glei (Giai đoạn 02)</t>
  </si>
  <si>
    <t>Xã Đăk Long</t>
  </si>
  <si>
    <t>Bố trí cho 138 hộ</t>
  </si>
  <si>
    <t>Dự án bố trí ổn định dân cư vùng thiên tai cấp bách, khẩn cấp xã Hơ Moong, huyện Sa Thầy</t>
  </si>
  <si>
    <t>Xã Sa Bình</t>
  </si>
  <si>
    <t>Bố trí cho 60 hộ dân</t>
  </si>
  <si>
    <t>Khu TĐC tổ 3, thôn Trà Lạc - xã Trà Lâm, huyện Trà Bồng</t>
  </si>
  <si>
    <t>Bố trí nơi ở ổn định cho 19 hộ dân</t>
  </si>
  <si>
    <t xml:space="preserve">Di dời, bố trí sắp xếp ổn định cho khoảng 19 hộ dân đang sinh sống ở các vị trí nguy cơ tiềm ẩn về thiên tai, góp phần giảm thiểu thiệt hại do thiên tai gây ra, bảo vệ an toàn tính mạng, tài sản của Nhân dân; 
</t>
  </si>
  <si>
    <t xml:space="preserve">Khu TĐC thôn Tang, xã Trà Bùi </t>
  </si>
  <si>
    <t>Bố trí nơi ở ổn định cho 25 hộ dân</t>
  </si>
  <si>
    <t xml:space="preserve">Di dời, bố trí sắp xếp ổn định cho khoảng 25 hộ dân đang sinh sống ở các vị trí nguy cơ tiềm ẩn về thiên tai, góp phần giảm thiểu thiệt hại do thiên tai gây ra, bảo vệ an toàn tính mạng, tài sản của Nhân dân; 
</t>
  </si>
  <si>
    <t>Khu TĐC Stray - xã Trà Phong, huyện Trà Bồng</t>
  </si>
  <si>
    <t>Bố trí nơi ở ổn định cho 32 hộ dân</t>
  </si>
  <si>
    <t xml:space="preserve">Di dời, bố trí sắp xếp ổn định cho khoảng 32 hộ dân đang sinh sống ở các vị trí nguy cơ tiềm ẩn về thiên tai, góp phần giảm thiểu thiệt hại do thiên tai gây ra, bảo vệ an toàn tính mạng, tài sản của Nhân dân; 
</t>
  </si>
  <si>
    <t>Khu tái định cư tập trung đồi Nước Vương</t>
  </si>
  <si>
    <t>Bố trí nơi ở ổn định cho 20 hộ dân</t>
  </si>
  <si>
    <t xml:space="preserve">Di dời, bố trí sắp xếp ổn định cho khoảng 20 hộ dân đang sinh sống ở các vị trí nguy cơ tiềm ẩn về thiên tai, góp phần giảm thiểu thiệt hại do thiên tai gây ra, bảo vệ an toàn tính mạng, tài sản của Nhân dân.
</t>
  </si>
  <si>
    <t>Khu TĐC Tu Ka Nhỗ, xã Sơn Mùa</t>
  </si>
  <si>
    <t>Bố trí nơi ở ổn định cho 12 hộ dân</t>
  </si>
  <si>
    <t xml:space="preserve">Di dời, bố trí sắp xếp ổn định cho khoảng 12 hộ dân đang sinh sống ở các vị trí nguy cơ tiềm ẩn về thiên tai, góp phần giảm thiểu thiệt hại do thiên tai gây ra, bảo vệ an toàn tính mạng, tài sản của Nhân dân.
</t>
  </si>
  <si>
    <t>Điểm ĐCĐC Nước Niêm, xã Sơn Bua, huyện Sơn Tây</t>
  </si>
  <si>
    <t>Bố trí nơi ở ổn định cho 18 hộ dân</t>
  </si>
  <si>
    <t xml:space="preserve">Di dời, bố trí sắp xếp ổn định cho khoảng 18 hộ dân đang sinh sống ở các vị trí nguy cơ tiềm ẩn về thiên tai, góp phần giảm thiểu thiệt hại do thiên tai gây ra, bảo vệ an toàn tính mạng, tài sản của Nhân dân; 
</t>
  </si>
  <si>
    <t>Dự án bố trí dân cư vùng thiên tai xã Hiếu, huyện Kon Plông</t>
  </si>
  <si>
    <t>Xã Kon Plông</t>
  </si>
  <si>
    <t>Bố trí nơi ở ổn định cho 02 hộ dân</t>
  </si>
  <si>
    <t xml:space="preserve">Di dời, bố trí sắp xếp ổn định cho khoảng 02 hộ dân đang sinh sống ở các vị trí nguy cơ tiềm ẩn về thiên tai, góp phần giảm thiểu thiệt hại do thiên tai gây ra, bảo vệ an toàn tính mạng, tài sản của Nhân dân; 
</t>
  </si>
  <si>
    <t>Tái định cư KDC Tà Kin, xã Sơn Tinh, huyện Sơn Tây</t>
  </si>
  <si>
    <t>Bố trí nơi ở ổn định cho 8  hộ dân</t>
  </si>
  <si>
    <t xml:space="preserve">Di dời, bố trí sắp xếp ổn định cho khoảng 8 hộ dân đang sinh sống ở các vị trí nguy cơ tiềm ẩn về thiên tai, góp phần giảm thiểu thiệt hại do thiên tai gây ra, bảo vệ an toàn tính mạng, tài sản của Nhân dân
</t>
  </si>
  <si>
    <t>Khu tái định Nước Lao, xã Sơn Bua</t>
  </si>
  <si>
    <t>Bố trí nơi ở ổn định cho 11 hộ dân</t>
  </si>
  <si>
    <t xml:space="preserve">Di dời, bố trí sắp xếp ổn định cho khoảng 11 hộ dân đang sinh sống ở các vị trí nguy cơ tiềm ẩn về thiên tai, góp phần giảm thiểu thiệt hại do thiên tai gây ra, bảo vệ an toàn tính mạng, tài sản của Nhân dân
</t>
  </si>
  <si>
    <t>Dự án sắp xếp dân cư có nguy cơ sạt lở xã Đăk Ang (Các thôn: Đăk Sút,  ĐăkGiá 1, Đăk Giá2, Đăk Blái xã Đăk Ang, H.Ngọc Hồi)</t>
  </si>
  <si>
    <t>Xã Dục Nông</t>
  </si>
  <si>
    <t>Bố trí nơi ở ổn định cho  75 hộ dân</t>
  </si>
  <si>
    <t xml:space="preserve">Di dời, bố trí sắp xếp ổn định cho khoảng 75 hộ dân đang sinh sống ở các vị trí nguy cơ tiềm ẩn về thiên tai, góp phần giảm thiểu thiệt hại do thiên tai gây ra, bảo vệ an toàn tính mạng, tài sản của Nhân dân
</t>
  </si>
  <si>
    <t>Bố trí dân cư vùng thiên tai trên địa bàn xã Tân Cảnh, huyện Đăk Tô</t>
  </si>
  <si>
    <t>Xã Đăk Tô</t>
  </si>
  <si>
    <t>Bố trí nơi ở ổn định cho  108 hộ dân</t>
  </si>
  <si>
    <t xml:space="preserve">Di dời, bố trí sắp xếp ổn định cho khoảng 108 hộ dân đang sinh sống ở các vị trí nguy cơ tiềm ẩn về thiên tai, góp phần giảm thiểu thiệt hại do thiên tai gây ra, bảo vệ an toàn tính mạng, tài sản của Nhân dân; 
</t>
  </si>
  <si>
    <t>Bố trí dân cư vùng  thiên tai trên địa bàn xã Đăk Rơ  Nga (Thôn Đăk Manh 1,xã Đăk Rơ Nga, H.Đăk Tô)</t>
  </si>
  <si>
    <t>Xã Ngọc Tụ</t>
  </si>
  <si>
    <t>Bố trí nơi ở ổn định cho  50 hộ dân</t>
  </si>
  <si>
    <t xml:space="preserve">Di dời, bố trí sắp xếp ổn định cho khoảng 50 hộ dân đang sinh sống ở các vị trí nguy cơ tiềm ẩn về thiên tai, góp phần giảm thiểu thiệt hại do thiên tai gây ra, bảo vệ an toàn tính mạng, tài sản của Nhân dân
</t>
  </si>
  <si>
    <t>Bố trí ổn định dân cư vùng thiên tai cấp bách thôn Đăk Sun xã Ngọc Linh, huyện Đăk Glei</t>
  </si>
  <si>
    <t>Xã Ngọc Linh</t>
  </si>
  <si>
    <t>Bố trí nơi ở ổn định cho 30 hộ dân</t>
  </si>
  <si>
    <t xml:space="preserve">Di dời, bố trí sắp xếp ổn định cho khoảng 30 hộ dân đang sinh sống ở các vị trí nguy cơ tiềm ẩn về thiên tai, góp phần giảm thiểu thiệt hại do thiên tai gây ra, bảo vệ an toàn tính mạng, tài sản của Nhân dân
</t>
  </si>
  <si>
    <t>Bố trí ổn định dân cư vùng thiên tai, nguy cơ sạt lở thôn Điek Cua  xã Ngọk Tem, huyện Kon Plông</t>
  </si>
  <si>
    <t>Xã Kon Plong</t>
  </si>
  <si>
    <t>Bố trí nơi ở ổn định cho 47 hộ dân</t>
  </si>
  <si>
    <t xml:space="preserve">Di dời, bố trí sắp xếp ổn định cho khoảng 47 hộ dân đang sinh sống ở các vị trí nguy cơ tiềm ẩn về thiên tai, góp phần giảm thiểu thiệt hại do thiên tai gây ra, bảo vệ an toàn tính mạng, tài sản của Nhân dân
</t>
  </si>
  <si>
    <t>Bố trí ổn định dân cư vùng thiên tai, nguy cơ sạt lở thôn Xô Luông xã Đăk Nên, huyện Kon Plông</t>
  </si>
  <si>
    <t>Xã Măng Bút</t>
  </si>
  <si>
    <t>Bố trí nơi ở ổn định cho 14 hộ dân</t>
  </si>
  <si>
    <t xml:space="preserve">Di dời, bố trí sắp xếp ổn định cho khoảng 14 hộ dân đang sinh sống ở các vị trí nguy cơ tiềm ẩn về thiên tai, góp phần giảm thiểu thiệt hại do thiên tai gây ra, bảo vệ an toàn tính mạng, tài sản của Nhân dân
</t>
  </si>
  <si>
    <t>Dự án sắp xếp ổn định dân cư thôn Tea Reang - Thôn Tu Rbăng (thôn 9 - thôn 10, xã Đăk Kôi), huyện Kon Rẫy</t>
  </si>
  <si>
    <t>Xã Đăk Kôi</t>
  </si>
  <si>
    <t>Bố trí nơi ở ổn định cho 96 hộ dân</t>
  </si>
  <si>
    <t>Công nghệ thông tin - Chuyển đổi số</t>
  </si>
  <si>
    <t>Xây dựng Trung tâm dữ liệu tỉnh Quảng Ngãi đạt chuẩn tối thiểu Tier 3 và Khu dịch vụ tập trung hỗ trợ hệ sinh thái khởi nghiệp sáng tạo tỉnh Quảng Ngãi</t>
  </si>
  <si>
    <t>Sở Khoa học và Công nghệ</t>
  </si>
  <si>
    <t>5.1. Tòa nhà Trung tâm dữ liệu tỉnh Quảng Ngãi và Khu dịch vụ tập trung hỗ trợ hệ sinh thái khởi nghiệp sáng tạo tỉnh Quảng Ngãi được xây dựng mới tại Trung tâm đô thị tỉnh với tổng diện tích xây dựng khoảng 3000 m2 (Trung tâm dữ liệu tỉnh 1500 m2 và Khu dịch vụ tập trung hỗ trợ hệ sinh thái khởi nghiệp sáng tạo tỉnh 1500 m2). Tòa nhà Trung tâm dữ liệu tỉnh đầu tư đồng bộ các hệ thống cấp điện, nước, mạng, âm thanh chuyên dụng, PCCC, xử lý nước thải, hệ thống chống sét, hệ thống cấp điện dự phòng; Khu dịch vụ tập trung hỗ trợ hệ sinh thái khởi nghiệp sáng tạo gồm các hạng mục chính: Không gian làm việc chung, khu văn phòng chia sẻ; Khu vực ươm tạo khởi nghiệp, tư vấn, huấn luyện; Phòng hội thảo, trình diễn công nghệ, hội nghị trực tuyến; Khu thí nghiệm, thử nghiệm công nghệ; Kết nối nền tảng hỗ trợ quản lý, giám sát hoạt động khởi nghiệp và đổi mới sáng tạo; Trang thiết bị hệ thống công nghệ số phục vụ điều hành, chia sẻ tài nguyên, hạ tầng thông tin, thống kê khoa học, công nghệ và đổi mới sáng tạo, tư vấn, kết nối hệ sinh thái.
5.2. Đầu tư mới Hạ tầng Trung tâm dữ liệu (DataCenter) tỉnh Quảng Ngãi đạt chuẩn tối thiểu Tier 3; Hệ thống mạng và bảo mật; Hệ thống máy chủ, lưu trữ và phần mềm. Ứng dụng công nghệ hiện đại: Điện toán đám mây, xử lý dữ liệu lớn (Big Data), AI hỗ trợ giám sát hệ thống, và hạ tầng hướng tới trung tâm dữ liệu xanh (Green Data Center), tiết kiệm năng lượng. Đối với Trung tâm dữ liệu tỉnh Quảng Ngãi hiện tại (tòa nhà 118 Hùng Vương) sẽ sử dụng cài đặt, bố trí thiết bị, hạ tầng công nghệ thông tin lưu trữ dự phòng cho Trung tâm dữ liệu tỉnh Quảng Ngãi (mới).</t>
  </si>
  <si>
    <t xml:space="preserve">Trung tâm dữ liệu tỉnh Quảng Ngãi được xây dựng và đưa vào vận hành cuối năm 2017, công suất thiết kế là 10 tủ Rack, hiện do Sở Khoa học và Công nghệ quản lý, vận hành. Qua 2 lần nâng cấp, bổ sung vào năm 2020 và 2023, hiện nay tổng số tủ Rack là 9, phục vụ cung cấp hạ tầng cho chuyển đổi số của tỉnh từ đầu năm 2018 đến nay. Thiết kế ban đầu xây dựng với nền tảng công nghệ chưa sử dụng công nghệ điện toán đám mây và đạt chuẩn tương đương Tier 2 . 
Bên cạnh đó, Tòa nhà trụ sở tại 118 Hùng Vương, hiện đang cài đặt, bố trí thiết bị, hạ tầng công nghệ thông tin vận hành Trung tâm dữ liệu tỉnh Quảng Ngãi đã xây dựng trên 20 năm (Sở Công nghiệp cũ), công dụng, công năng không phù hợp, không đảm bảo an toàn về lâu dài cho Trung tâm dữ liệu tỉnh. Đồng thời tỉnh Quảng Ngãi chưa có trụ sở, địa điểm để hỗ trợ hệ sinh thái khởi nghiệp sáng tạo trên địa bàn tỉnh Quảng Ngãi.
Tại Nghị quyết số 13-NQ/TU ngày 06/9/2023 của Ban Thường vụ Tỉnh ủy khóa XX cần phải xây dựng Trung tâm dữ liệu tỉnh Quảng Ngãi hiện đại, đáp ứng yêu cầu, đảm bảo năng lực và tài nguyên để cung cấp cho các đơn vị trên địa bàn tỉnh triển khai kịp thời, nhanh chóng hệ thống thông tin chuyên ngành một cách hiệu quả, đồng bộ, thống nhất và an toàn thông tin; đồng thời cũng phải đáp ứng được yêu cầu triển khai kho dữ liệu dùng chung của tỉnh và các hệ thống thông tin, ứng dụng mới phục vụ quá trình chuyển đổi số của tỉnh.
Thực hiện Nghị quyết số 57-NQ/TW, Nghị quyết số 71/NQ-CP, Kế hoạch hành động số 359-KH/TU, UBND tỉnh đã ban hành Quyết định số 327/QĐ-UBND, trong đó tăng cường đầu tư, hoàn thiện hạ tầng cho khoa học, công nghệ, đổi mới sáng tạo và chuyển đổi số. Tại Khoản 3, phần III, Quyết định số 327/QĐ-UBND ngày 26/5/2025 của UBND tỉnh đã xác định nhiệm vụ: “Hình thành Trung tâm dữ liệu tỉnh theo hướng hiện đại, đạt chuẩn tối thiểu Tier 3. Ứng dụng công nghệ điện toán đám mây, xử lý dữ liệu lớn,... để quản lý tập trung các hệ thống thông tin, nền tảng số, cơ sở dữ liệu dùng chung của tỉnh, đáp ứng yêu cầu triển khai thực hiện chuyển đổi số, phát triển chính quyền số, kinh tế số, xã hội số và đảm bảo an toàn thông tin mạng tỉnh Quảng Ngãi”. Vì vậy, để đáp ứng yêu cầu cung cấp hạ tầng cho khoa học, công nghệ, đổi mới sáng tạo và chuyển đổi số của tỉnh trong thời gian tới, cần thiết phải thực hiện Xây dựng mới Trung tâm dữ liệu tỉnh Quảng Ngãi đạt chuẩn tối thiểu Tier 3, độc lập với Trung tâm dữ liệu hiện hành, ứng dụng công nghệ hiện đại.
Đồng thời, tại Kế hoạch số 38/KH-UBND, đã xác định nhiệm vụ “Xây dựng Khu dịch vụ tập trung hỗ trợ khởi nghiệp và đổi mới sáng tạo tỉnh với mục tiêu thu hút, kết nối các nguồn lực thúc đẩy hoàn thiện hệ sinh thái khởi nghiệp đổi mới sáng tạo, thúc đẩy nâng cao hiệu quả sản xuất, kiến tạo các mô hình sản xuất chất lượng cao, năng suất lao động cao, kiến tạo sự đóng góp của yếu tố năng suất các nhân tố tổng hợp (TFP) cho nền kinh tế”. 
Vì vậy, để đáp ứng yêu cầu cung cấp hạ tầng cho khoa học, công nghệ, đổi mới sáng tạo và chuyển đổi số của tỉnh và hỗ trợ hệ sinh thái đổi mới sáng tạo tỉnh đáp ứng Nghị quyết số 57-NQ/TW trong thời gian tới, cần thiết phải thực hiện dự án “Xây dựng Trung tâm dữ liệu tỉnh Quảng Ngãi đạt chuẩn tối thiểu Tier 3 và Khu dịch vụ tập trung hỗ trợ hệ sinh thái đổi mới sáng tạo tỉnh”. </t>
  </si>
  <si>
    <t>Nâng cao năng lực hoạt động nghiên cứu ứng dụng của Trung tâm Ứng dụng khoa học công nghệ tỉnh Quãng Ngãi.</t>
  </si>
  <si>
    <t>Thôn 6, xã Iachim, tỉnh Quảng Ngãi</t>
  </si>
  <si>
    <t>- Thực hiện dự án nhằm cụ thể hóa các mục tiêu, nhiệm vụ và giải pháp mà Nghị quyết 57-NQ/TW đề ra. 
- Góp phần nâng cấp cơ sở vật chất, trang thiết bị hiện đại, đào tạo nguồn nhân lực nhằm nâng cao năng lực nghiên cứu , từng bước trở thành đơn vị nghiên cứu đáp ứng kịp thời, hiệu quả nhu cầu của các tổ chức, cá nhân trên địa bàn tỉnh ngày càng cao trong giai đoạn hội nhập. 
- Đủ năng lực để phát huy ngày càng cao vai trò phục vụ quản lý nhà nước trong lĩnh vực ứng dụng, chuyển giao công nghệ tại địa phương. 
- Xây dựng Trung tâm trở thành nơi ươm tạo các doanh nghiệp nông nghiệp công nghệ cao.</t>
  </si>
  <si>
    <t>Xây dựng Kho dữ liệu dùng chung và Hệ sinh thái dữ liệu mở trên cơ sở các Kho dữ liệu hiện có, Cổng dữ liệu mở phục vụ chuyển đổi số tỉnh</t>
  </si>
  <si>
    <t>Tại Trung tâm dữ liệu tỉnh; các cơ quan nhà nước cấp tỉnh, cấp xã.</t>
  </si>
  <si>
    <t xml:space="preserve">+ Hoàn thiện các CSDL/Kho dữ liệu theo Quyết định số 862/QĐ-UBND ngày 04/7/2022 của Chủ tịch UBND tỉnh về việc Ban hành Danh mục cơ sở dữ liệu dùng chung tỉnh Quảng Ngãi, Quyết định số 856/QĐ-UBND ngày 07/6/2023 Ban hành Danh mục dữ liệu mở của cơ quan nhà nước tỉnh Quảng Ngãi.
+ Xây dựng các CSDL/Kho dữ liệu lớp trên theo Kiến trúc Chính quyền điện tử tỉnh Quảng Ngãi, Kiến trúc ICT phát triển đô thị thông minh tỉnh Quảng Ngãi; với quy mô, khối lượng, thuộc tính, tính chất, chức năng tại Kiến trúc đã được phê duyệt.
</t>
  </si>
  <si>
    <t xml:space="preserve">+ Phát triển Chính quyền số, kinh tế số và xã hội số, yếu tố dữ liệu là quan trọng nhất; dữ liệu mở của tỉnh Quảng Ngãi có vai trò quan trọng trong phát triển Chính quyền số, kinh tế số và xã hội số. Theo lộ trình của Chính phủ, đến hết năm 2025 là cơ bản hoàn thành giai đoạn phát triển Chính quyền điện tử; bắt đầu giai đoạn Chính quyền số mà ở đó, cơ quan chính quyền các cấp thực hiện hoạt động chỉ đạo, điều hành dự trên dữ liệu.
+ Nghị quyết số 13-NQ/TU ngày 06/9/2023: ”Xây dựng và đưa vào vận hành các Kho dữ liệu số hóa dùng chung của cơ quan Đảng, cơ quan nhà nước trong tỉnh. Triển khai các cơ sở dữ liệu, nền tảng số dùng chung của tỉnh đồng bộ đến cơ sở; kết nối, chia sẻ dữ liệu hiệu quả, thông suốt giữa các cơ quan trong tỉnh và tích hợp với các hệ thống thông tin, nền tảng số của bộ, ngành Trung ương”.
+ Kế hoạch số 38/KH-UBND ngày 20/02/2024: Tiếp tục phát triển Hệ thống các Kho dữ liệu dùng chung của tỉnh Quảng Ngãi với 04 nhóm chính: (a) Cơ sở dữ liệu cơ quan chính quyền; (b) Cơ sở dữ liệu doanh nghiệp; (c) Cơ sở dữ liệu về người dân; (d) Cơ sở dữ liệu nền địa hình, địa chính. Tổ chức khai thác Kho dữ liệu dùng chung tỉnh thông qua Cổng dữ liệu tỉnh, trong đó Cổng dữ liệu mở là một thành phần phục vụ người dân và doanh nghiệp.
</t>
  </si>
  <si>
    <t>r</t>
  </si>
  <si>
    <t>Nghĩa trang nhân dân huyện Ba Tơ</t>
  </si>
  <si>
    <t>7ha</t>
  </si>
  <si>
    <t>Nhằm từng bước hoàn chỉnh mạng lưới quy hoạch chung của huyện, góp phần bảo vệ môi trường, cảnh quang.</t>
  </si>
  <si>
    <t>s</t>
  </si>
  <si>
    <t>Phát thanh, truyền hình, thông tấn</t>
  </si>
  <si>
    <t>Đầu tư hệ thống quản lý theo mô hình tòa soạn số</t>
  </si>
  <si>
    <t>Báo và Phát thanh, Truyền hình</t>
  </si>
  <si>
    <t>Xây dựng các phần mềm, mua sắm thiết bị nhằm quản lý sản xuất, trình duyệt, phát sóng các chương trình theo mô hình tòa soạn số</t>
  </si>
  <si>
    <t>Phục vụ công tác chuyển đổi số của ngành đã được phê duyệt</t>
  </si>
  <si>
    <t>2026 - 2028</t>
  </si>
  <si>
    <t>Đầu tư thiết bị phục vụ phim trường đa năng, thực tế ảo</t>
  </si>
  <si>
    <t>Cung cấp lắp đặt thiết bị cho phim trường đa năng, thực tế ảo</t>
  </si>
  <si>
    <t xml:space="preserve">Thiết bị của phim trường đa năng, thực tế ảo chưa được đầu tư và cần phải đầu tư để đa dạng hóa các chương trình truyền hình </t>
  </si>
  <si>
    <t>Đầu tư hệ thống thiết bị tiền kỳ, hậu kỳ cho sản xuất chương trình phát thanh, truyền hình</t>
  </si>
  <si>
    <t>Cung cấp lắp đặt thiết bị phục vụ sản xuất các chương trình phát thanh, truyền hình</t>
  </si>
  <si>
    <t>Cung cấp thiết bị theo công nghệ mới, đáp ứng yêu cầu chuyển đổi số của cơ quan</t>
  </si>
  <si>
    <t>2027 - 2028</t>
  </si>
  <si>
    <t>Đầu tư hệ thống trang, thiết bị cho trường quay</t>
  </si>
  <si>
    <t>Cung cấp lắp đặt thiết bị cho trường quay</t>
  </si>
  <si>
    <t>Cung cấp lắp đặt thiết bị của trường quay theo công nghệ mới, thay thế thiết bị của trường quay hiện có</t>
  </si>
  <si>
    <t>2028 - 2029</t>
  </si>
  <si>
    <t>Đầu tư hệ thống tổng khống chế, truyền dẫn phát sóng cho phát thanh, truyền hình theo công nghệ mới</t>
  </si>
  <si>
    <t xml:space="preserve">Cung cấp lắp đặt thiết bị ghi, thu, dựng, tổng khống chế, truyền dẫn cho phát thanh </t>
  </si>
  <si>
    <t>Đầu tư hệ thống tổng khống chế, truyền dẫn, phát sóng các chương trình theo công nghệ mới</t>
  </si>
  <si>
    <t>2029 - 2030</t>
  </si>
  <si>
    <t>Xây dựng nhà làm việc Báo và Phát thanh, Truyền hình Quảng Ngãi</t>
  </si>
  <si>
    <t>Xây dựng mới 01 khu nhà làm việc có diện tích sàn 2.000 m2</t>
  </si>
  <si>
    <t>Khu nhà làm việc hiện tại không đủ diện tích để làm việc sau khi sáp nhập, cần phải xây dựng mới để các cơ sở hiện tại làm việc tại 01 trụ sở</t>
  </si>
  <si>
    <t>Thiết bị kiểm duyệt chương trình truyền hình HD/4K và Hệ thống thiết bị trực tuyến qua mạng Internet/Ip chuẩn HD/4K</t>
  </si>
  <si>
    <t>Server lưu trữ HD/4K &amp; hệ thống quản lý dữ liệu truyền hình số và camera cho phóng viên</t>
  </si>
  <si>
    <t>PHÂN CẤP/HỖ TRỢ NGÂN SÁCH XÃ PHƯỜNG</t>
  </si>
  <si>
    <t>Xã Bờ Y</t>
  </si>
  <si>
    <t>Xã Đăk Pxi</t>
  </si>
  <si>
    <t>BCH, SNN</t>
  </si>
  <si>
    <t>Phân cấp cho các xã, phường</t>
  </si>
  <si>
    <t>ĐVT: Triệu đồng</t>
  </si>
  <si>
    <t>Chuẩn bị đầu tư</t>
  </si>
  <si>
    <t>Đơn vị tính: Triệu đồng</t>
  </si>
  <si>
    <t xml:space="preserve">Nhóm dự án </t>
  </si>
  <si>
    <t>Mục tiêu đầu tư</t>
  </si>
  <si>
    <t>Dự kiến kế hoạch đầu tư công giai đoạn 2026 - 2030</t>
  </si>
  <si>
    <t>Dự kiến KH năm 2026 nguồn NSTW</t>
  </si>
  <si>
    <t>9=10+11</t>
  </si>
  <si>
    <t>12=13+14</t>
  </si>
  <si>
    <t>Nâng cấp, cải tạo quốc lộ 24B đoạn Km23 - Km29</t>
  </si>
  <si>
    <t>BQL DA ĐTXD các CT Giao thông</t>
  </si>
  <si>
    <t>Trương quang trọng, Sơn Tịnh</t>
  </si>
  <si>
    <t>KHV năm 2025 dự kiến 150 tỷ đồng</t>
  </si>
  <si>
    <t>Bổ sung thiết bị cho các trường theo chương trình giáo dục phổ thông năm 2018</t>
  </si>
  <si>
    <t>Các xã</t>
  </si>
  <si>
    <t>QĐ371-14/5/2021; QĐ444-23/7/2024
QĐ 252-2025</t>
  </si>
  <si>
    <t>Tu bổ, tôn tạo và phát huy giá trị di tích lịch sử chiến thắng Đăk Tô - Tân Cảnh, tỉnh Kon Tum</t>
  </si>
  <si>
    <t>804/QĐ-UBND ngày 14/12/2022</t>
  </si>
  <si>
    <t>Sửa chữa nâng cấp Đập Đăk Cấm, thành phố Kon Tum</t>
  </si>
  <si>
    <t>BQL  NN&amp;PTNT</t>
  </si>
  <si>
    <t>Xã Đăk Cấm, xã Ngọk Bay và xã Ngọc Réo</t>
  </si>
  <si>
    <t>Cấp nước tưới cho 250 ha đất nông nghiệp và tạo nguồn cấp nước sinh hoạt cho 30 ngàn dân</t>
  </si>
  <si>
    <t>200-21/4/2023</t>
  </si>
  <si>
    <t>Bảo vệ, khôi phục và phát triển rừng bền vững trên địa bàn tỉnh Kon Tum giai đoạn 2021-2025</t>
  </si>
  <si>
    <t>Sở Nông nghiệp và PTNT</t>
  </si>
  <si>
    <t>Phía Tây Quảng Ngãi</t>
  </si>
  <si>
    <t>Trồng mới 670 ha rừng; Xây dựng kết cấu hạ tầng lâm nghiệp; Xác định ranh giới rừng với tổng chiều dài 2.992,0 km; cắm mốc bổ sung ranh giới rừng là 9.150 mốc</t>
  </si>
  <si>
    <t>508-28/8/2024</t>
  </si>
  <si>
    <t>Kè chống sạt lở sông Đăk Tờ Kan (đoạn cầu 42), huyện Đăk Tô</t>
  </si>
  <si>
    <t>UBND xã Đăk Tô</t>
  </si>
  <si>
    <t>262-25/5/2023</t>
  </si>
  <si>
    <t>Hệ thống thoát nước, vỉa hè các tuyến đường nội thành, thành phố Kon Tum</t>
  </si>
  <si>
    <t>UBND phường Kon Tum</t>
  </si>
  <si>
    <t>705-16/11/2022</t>
  </si>
  <si>
    <t>Xã Tu Mơ Rông</t>
  </si>
  <si>
    <t>UBND xã Ia Tơi</t>
  </si>
  <si>
    <t>Xã Ia Tơi</t>
  </si>
  <si>
    <t>Danh mục dự án dự kiến khởi công mới</t>
  </si>
  <si>
    <t>40 Km</t>
  </si>
  <si>
    <t>Sửa chữa nâng đường huyện DH85 từ ngã ba Đăk Môn đến Đồn biên phòng Đăk Long 673 tỉnh Quảng Ngãi</t>
  </si>
  <si>
    <t>UBND xã Đăk Long</t>
  </si>
  <si>
    <t>Xã Đăk Môn, Xã Đăk Long</t>
  </si>
  <si>
    <t>Hoàn thiện hệ thống giao thông trên địa bàn</t>
  </si>
  <si>
    <t>Đường trung tâm phía Đông xã Bờ Y</t>
  </si>
  <si>
    <t>Nhằm mở rộng không gian đô thị, thay đổi diện mạo của xã xanh, sạch đẹp, thân thiện với môi trường, phát triển thương mại, dịch vụ, du lịch, thu hút đầu tư. Từng bước hoàn chỉnh tiêu chí về phát triển cơ sở hạ tầng, kiến trúc, cảnh quan, phát triển kinh tế - xã hội tại địa phương. Hướng tới thu hẹp khoảng cách về kinh tế và trình độ phát triển giữa các vùng của tỉnh Quảng Ngãi</t>
  </si>
  <si>
    <t xml:space="preserve">Số còn lại để tính CT-KCM theo TB dự toán </t>
  </si>
  <si>
    <t>Phụ lục 3</t>
  </si>
  <si>
    <t>Phụ lục 6</t>
  </si>
  <si>
    <t>số tb mới</t>
  </si>
  <si>
    <t>số tb cũ</t>
  </si>
  <si>
    <t>KẾT QUẢ SỬ DỤNG, GIẢI NGÂN VỐN NGÂN SÁCH NHÀ NƯỚC THỰC HIỆN CÁC CHƯƠNG TRÌNH MỤC TIÊU QUỐC GIA NĂM 2025, ĐỀ XUẤT NĂM 2026</t>
  </si>
  <si>
    <t>Đơn vị tính: triệu đồng</t>
  </si>
  <si>
    <t>Dự án thành phần/ nội dung hoạt động</t>
  </si>
  <si>
    <t>Kế hoạch  nguồn vốn giai đoạn 2021-2025 được cấp có thẩm quyền giao, thông báo</t>
  </si>
  <si>
    <t>Kết quả bố trí, sử dụng, giải ngân dự toán, kế hoạch vốn các chương trình đến năm 2025</t>
  </si>
  <si>
    <t>Dự kiến nhu cầu năm 2026</t>
  </si>
  <si>
    <t>Kế hoạch, dự toán vốn CTMTQG giai đoạn 2021-2024</t>
  </si>
  <si>
    <t>Kết quả thực hiện kế hoạch vốn năm 2025</t>
  </si>
  <si>
    <t>Tổng cộng giai đoạn 2021-2024</t>
  </si>
  <si>
    <t>Đã giải ngân đến hết 31/01/2025</t>
  </si>
  <si>
    <t>Đã làm thủ tục kéo dài thời gian thực hiện sang năm 2025 theo NQ 174/2024/QH15 (nếu có)</t>
  </si>
  <si>
    <t>Kết quả giải ngân vốn đã làm thủ tục kéo dài sang năm 2025 trong 6 tháng đầu năm 2025</t>
  </si>
  <si>
    <t>Kế hoạch vốn năm 2025</t>
  </si>
  <si>
    <t>Kết quả giải ngân 6 tháng đầu năm</t>
  </si>
  <si>
    <t>Ước giải ngân đến tháng 12/2025</t>
  </si>
  <si>
    <t>Tổng nhu cầu</t>
  </si>
  <si>
    <t>KHĐTC nguồn NSNN</t>
  </si>
  <si>
    <t xml:space="preserve">Thông báo vốn SN </t>
  </si>
  <si>
    <t>NSNN</t>
  </si>
  <si>
    <t>ĐTPT</t>
  </si>
  <si>
    <t>SN</t>
  </si>
  <si>
    <t>Trong nước</t>
  </si>
  <si>
    <t>Ngoài nước</t>
  </si>
  <si>
    <t>CTMTQG giảm nghèo bền vững</t>
  </si>
  <si>
    <t>Quảng Ngãi (cũ)</t>
  </si>
  <si>
    <t>Kontum (cũ)</t>
  </si>
  <si>
    <t>CTMTQG nông thôn mới</t>
  </si>
  <si>
    <t>CTMTQG phát triển kinh tế xã hội vùng đồng bào dân tộc thiểu số và miền núi</t>
  </si>
  <si>
    <t>Ghi chú:</t>
  </si>
  <si>
    <t>- (1): Tên Chương trình mục tiêu quốc gia.</t>
  </si>
  <si>
    <t>II.1</t>
  </si>
  <si>
    <t>II.2</t>
  </si>
  <si>
    <t>Năm 2025</t>
  </si>
  <si>
    <t>2</t>
  </si>
  <si>
    <t>Xổ số kiến thiết</t>
  </si>
  <si>
    <t>Vốn trong nước</t>
  </si>
  <si>
    <t>Vốn nước ngoài</t>
  </si>
  <si>
    <t>Dự kiến kế hoạch năm 2026</t>
  </si>
  <si>
    <t>Nguồn chi đầu tư phát triển khác (Thực hiện đo đạc, lập bản đồ địa chính, xây dựng cơ sở dữ liệu đất đai)</t>
  </si>
  <si>
    <t>KH đầu tư trung hạn giai đoạn 2021-2025</t>
  </si>
  <si>
    <t xml:space="preserve">TMĐT </t>
  </si>
  <si>
    <t>Kế hoạch giai đoạn 2021-2025</t>
  </si>
  <si>
    <t>Tổng số (tất cả các nguồn vốn)</t>
  </si>
  <si>
    <t>(1)</t>
  </si>
  <si>
    <t>(2)</t>
  </si>
  <si>
    <t>2026-</t>
  </si>
  <si>
    <t>Dự án nhóm C</t>
  </si>
  <si>
    <t>Dự án nhóm B</t>
  </si>
  <si>
    <t>2.1</t>
  </si>
  <si>
    <t>2.2</t>
  </si>
  <si>
    <t>Dự án ...</t>
  </si>
  <si>
    <t>Dự án nhóm A</t>
  </si>
  <si>
    <t>…</t>
  </si>
  <si>
    <t>………..</t>
  </si>
  <si>
    <t>4.1</t>
  </si>
  <si>
    <t>4.2</t>
  </si>
  <si>
    <t>4.3</t>
  </si>
  <si>
    <t>Lĩnh vực giáo dục</t>
  </si>
  <si>
    <t>Dự án Bảo vệ, khôi phục và phát triển rừng bền vững ở Tây Nguyên - Hợp phần tỉnh Quảng Ngãi</t>
  </si>
  <si>
    <t>Mã dự án</t>
  </si>
  <si>
    <t>Nhà tài trợ</t>
  </si>
  <si>
    <t>Ngày ký kết hiệp định</t>
  </si>
  <si>
    <t>Ngày kết thúc Hiệp định</t>
  </si>
  <si>
    <t xml:space="preserve">Số quyết định </t>
  </si>
  <si>
    <t>Kế hoạch vốn</t>
  </si>
  <si>
    <t>Ước giải ngân kế hoạch năm 2025 từ 1/1/2025 đến 30/9/2025</t>
  </si>
  <si>
    <t>Ước giải ngân kế hoạch năm 2025 từ 1/1/2025 đến 31/12/2025</t>
  </si>
  <si>
    <t>Luỹ kế đã bố trí vốn đến hết kế hoạch năm 2025</t>
  </si>
  <si>
    <t>Vốn đối ứng nguồn NSTW</t>
  </si>
  <si>
    <t xml:space="preserve">Vốn nước ngoài (vốn NSTW) </t>
  </si>
  <si>
    <t>Trong đó: thu hồi các khoản vốn ứng trước</t>
  </si>
  <si>
    <t>Trong đó: vốn NSTW</t>
  </si>
  <si>
    <t>VỐN NƯỚC NGOÀI KHÔNG GIẢI NGÂN THEO CƠ CHẾ TÀI CHÍNH TRONG NƯỚC</t>
  </si>
  <si>
    <t>Ngành, Lĩnh vực nông nghiệp, lâm nghiệp, diêm nghiệp, thủy lợi và thủy sản</t>
  </si>
  <si>
    <t>Danh mục dự án chuyển tiếp hoàn thành sau năm 2025</t>
  </si>
  <si>
    <t>Dự án Làng Hòa bình Việt Nam - Hàn Quốc (KVPVP) tại tỉnh Quảng Ngãi</t>
  </si>
  <si>
    <t>KOICA</t>
  </si>
  <si>
    <t>1794/QĐ-UBND ngày 23/12/2022</t>
  </si>
  <si>
    <t>ADB</t>
  </si>
  <si>
    <t>10,664 triệu USD</t>
  </si>
  <si>
    <t>Danh mục dự án khởi công mới năm 2026</t>
  </si>
  <si>
    <t>Dự án Nâng cao năng lực trồng, quản lý, bảo vệ rừng bền vững, gắn với phát triển sinh kế tại Vườn quốc gia Chư Mom Ray</t>
  </si>
  <si>
    <t>Ngành, Lĩnh vực.......</t>
  </si>
  <si>
    <t>Phân loại như trên</t>
  </si>
  <si>
    <t>VỐN NƯỚC NGOÀI GIẢI NGÂN THEO CƠ CHẾ TÀI CHÍNH TRONG NƯỚC</t>
  </si>
  <si>
    <t>Phân loại như phần A</t>
  </si>
  <si>
    <t>I.1.</t>
  </si>
  <si>
    <t>I.2.</t>
  </si>
  <si>
    <t>Vốn đối ứng NSĐP</t>
  </si>
  <si>
    <t>Dự kiến kế hoạch năm 2026</t>
  </si>
  <si>
    <t>Đề xuất bên quyết toán</t>
  </si>
  <si>
    <t>Đối ứng NSTW</t>
  </si>
  <si>
    <t>nhu cầu kế hoạch giai đoạn 2026 - 2030</t>
  </si>
  <si>
    <t>Kế hoạch đầu tư công trung hạn 2026-2030</t>
  </si>
  <si>
    <t>TỔNG CỘNG (A+B)</t>
  </si>
  <si>
    <t>DANH MỤC DỰ ÁN DO CẤP TỈNH LÀM CHỦ ĐẦU TƯ</t>
  </si>
  <si>
    <t>Trung tâm điều trị và nuôi dưỡng người bệnh tâm thần Kon Tum (Hạng mục: Đầu tư xây dựng Bệnh viện Tâm thần tỉnh Kon Tum (xây mới bệnh viện 100 giường bệnh))</t>
  </si>
  <si>
    <t>Xã Măng Đen</t>
  </si>
  <si>
    <t>Luỹ kế vốn đã bố trí từ đầu dự án đến hết kế hoạch năm 2025</t>
  </si>
  <si>
    <t>Nhu cầu kế hoạch đầu tư công giai đoạn 2026 - 2030</t>
  </si>
  <si>
    <t>QN</t>
  </si>
  <si>
    <t>KT</t>
  </si>
  <si>
    <t>Trừ QL24</t>
  </si>
  <si>
    <t>Bố trí thực hiện các dự án có tính kết nối liên vùng, ven biển</t>
  </si>
  <si>
    <t>Dự án khởi công mới</t>
  </si>
  <si>
    <t>Ngân sách trung ương hỗ trợ theo ngành, lĩnh vực (phần tính điểm)</t>
  </si>
  <si>
    <t>Tỉnh kiến nghị TW nhiều lần</t>
  </si>
  <si>
    <t>Hoàn thiện hạ tầng ở khu vực, phù hợp với Quy hoạch tỉnh</t>
  </si>
  <si>
    <t>Chiều dài tuyến18,5km; công trình cấp III miền núi</t>
  </si>
  <si>
    <t>Tỉnh Kon Tum cũ kiến nghị TW nhiều lần</t>
  </si>
  <si>
    <t>Đảm bảo đồng bộ với giai đoạn 1 đã đầu tư nhằm phát huy hiệu quả đầu tư của dự án</t>
  </si>
  <si>
    <t>Sở Y tế; BQLDA ĐTXD các công trình DD&amp;CN tỉnh</t>
  </si>
  <si>
    <t>đ</t>
  </si>
  <si>
    <t>Dự án bảo quản, tu bổ, phục hồi các thắng cảnh trên địa bàn xã Măng Đen</t>
  </si>
  <si>
    <t>Cải tạo thác, đập tạo cảnh quan, hồ cảnh quan; đường vào thác,  bãi đậu xe; đường nội bộ, hệ thống điện và các hạng mục phụ trợ khác</t>
  </si>
  <si>
    <t>Việc bảo quản, tu bổ, phụ hồi thắng cảnh thác  sẽ góp phần giữ gìn vẻ đẹp hoang sơ, duy trì cân bằng sinh thái khu vực góp phần tạo cảnh quan môi trường sinh thái, vui chơi giải trí, du lịch tham quan ngắm cảnh, thu hút khách du lịch và các nhà đầu tư về trong vùng để phát triển kinh tế trên địa bàn xã</t>
  </si>
  <si>
    <t>Phục vụ phát triển du lịch theo QH chung xây dựng KLD sinh thái Măng Đen</t>
  </si>
  <si>
    <r>
      <t>Đầu tư hoàn thiện và đồng bộ hạ tầng về môi trường trong KCN phía Đông, phía Tây Dung Quất để đáp ứng đầy đủ các quy định tại</t>
    </r>
    <r>
      <rPr>
        <b/>
        <sz val="11"/>
        <rFont val="Times New Roman"/>
        <family val="1"/>
      </rPr>
      <t xml:space="preserve"> </t>
    </r>
    <r>
      <rPr>
        <sz val="11"/>
        <rFont val="Times New Roman"/>
        <family val="1"/>
      </rPr>
      <t>Khoản 1 Điều 51 Luật Bảo vệ môi trường năm 2020 và nhu cầu của các doanh nghiệp đang hoạt động sản xuất kinh doanh trong KCN</t>
    </r>
  </si>
  <si>
    <t>Chống ngập úng khu trung tâm thành phố KonTum (cũ)</t>
  </si>
  <si>
    <t>UBND phường
 Kon Tum</t>
  </si>
  <si>
    <t>Phường 
Kon Tum</t>
  </si>
  <si>
    <t>Xây dựng HTTN mưa chảy chung của hệ thống thoát nước đô thị
Tuyến số 1: Đoạn từ đường Lê Văn Hiến đến đường Nguyễn Sinh Sắc: L: Khoảng 220m Khẩu độ cống dự kiến: Cống hộp bê tông cốt thép KT (140x140)cm
Tuyến số 2: gồm 03 phân đoạn: 
* Phân đoạn 01: Đoạn tư đường Phan Huy Chú đến đường Bà Triệu :  :L: 275m, Khẩu độ cống dự kiến: Cống hộp bê tông cốt thép KT (150x200)cm
* Phân đoạn 02: Đoạn từ đường Bà Triệu đến đường Ngô Quyền:-L: Khoảng 995m. Khẩu độ cống dự kiến: Cống hộp bê tông cốt thép KT (200x200)cm. Khẩu độ cống dự kiến: Cống hộp bê tông cốt thép KT (200x250)cm
*Tuyến số 3: Đoạn từ đường Phan Đình Phùng ra suối Đăk Tod Rech: L=: Khoảng 1.000m. Khẩu độ cống dự kiến: Cống hộp bê tông cốt thép KT (200x200)cm.
* Tuyến số 4: gồm 02 phân đoạn:
* Phân đoạn 01: Chạy dọc theo phía đông đường Phan Đình Phùng: Chiều dài tuyến thoát nước khoảng: 390m  Khẩu độ cống dự kiến: Cống hộp bê tông cốt thép KT (200x200)cm,
* Phân đoạn 02: Chạy dọc theo phía đông đường Phan Đình Phùng (đoạn từ đường Trần Nhân Tông đến đường Phan Chu Trinh): Chiều dài tuyến thoát nước khoảng: 735m. Khẩu độ cống dự kiến: Cống hộp KT (200x250)cm</t>
  </si>
  <si>
    <t>Quá trình đô thị hóa khá nhanh, cộng với diễn biến thời tiết phức tạp; công tác đầu tư, nâng cấp các công trình hạ tầng thoát nước của thành phố chưa được quan tâm đầu tư đồng bộ nên mỗi khi có mưa lớn đã làm quá tải hệ thống thoát nước chính của thành phố. Do đó, đã xảy ra tình trạng làm ngập úng cục bộ tại một số tuyến đường giao thông chính trong khu vực nội thành ; đã gây ách tắc giao thông, ô nhiễm môi trường, mất mỹ quan đô thị; ngoài ra còn làm ảnh hưởng đến đời sống sinh hoạt của người dân và bộ mặt của đô thị thành phố Kon Tum. Do đó, Nâng cấp, cải tạo hệ thống thoát nước  là việc làm cấp thiết nhằm sớm giải quyết trình trạng ngập úng, đáp ứng nhu cầu và nguyện vọng của nhân dân trong khu vực nội thành</t>
  </si>
  <si>
    <t>Giải quyết nhu cầu cấp bách; cử tri kiến nghị nhiều lần</t>
  </si>
  <si>
    <t>Dự kiến Kế hoạch năm 2026</t>
  </si>
  <si>
    <t>Nhu cầu năm 2026 nguồn NSTW</t>
  </si>
  <si>
    <t>Lĩnh vực văn hóa, thể thao và du lịch</t>
  </si>
  <si>
    <t>Dự án dự kiến ký hiệp định trong năm 2025</t>
  </si>
  <si>
    <t>Dự án thuộc đối tượng không phải phê duyệt CTĐT, đang trong quá trình lập, trình phê duyệt dự án</t>
  </si>
  <si>
    <t>Phát triển hạ tầng chuỗi gía trị nông nghiệp thông minh thích ứng với biến đổi khí hậu</t>
  </si>
  <si>
    <t>19,219 triệu USD</t>
  </si>
  <si>
    <t>Dự án đã được TTCP phê duyệt đề xuất dự án, đang trong quá trình lập, trình phê duyệt chủ trương đầu tư dự án</t>
  </si>
  <si>
    <t>đơn vị đề xuất chuẩn bị đầu tư 32.000</t>
  </si>
  <si>
    <t>2 dự án này chưa phê duyệt chủ trương đầu tư, đang xin vốn chuẩn bị đầu tư</t>
  </si>
  <si>
    <t>Cộng hòa Liên bang Đức</t>
  </si>
  <si>
    <t xml:space="preserve">11,160 triệu EUR </t>
  </si>
  <si>
    <t>đơn vị đề xuất chuẩn bị đầu tư</t>
  </si>
  <si>
    <t>Phụ lục 7</t>
  </si>
  <si>
    <t>Giải ngân kế hoạch năm 2025 từ 1/1/2025 đến 30/6/2025</t>
  </si>
  <si>
    <t>CP nước Cộng hòa Italia</t>
  </si>
  <si>
    <t xml:space="preserve">DỰ KIẾN KẾ HOẠCH  ĐẦU TƯ CÔNG NĂM 2026  THỰC HIỆN CÁC CHƯƠNG TRÌNH, NHIỆM VỤ </t>
  </si>
  <si>
    <t>Danh mục dự án dự kiến khởi công mới năm 2026</t>
  </si>
  <si>
    <t>655/QĐ-UBND, ngày 27/12/2023 của UBND tỉnh KT (cũ)</t>
  </si>
  <si>
    <t>DỰ KIẾN KẾ HOẠCH ĐẦU TƯ VỐN NGÂN SÁCH TRUNG ƯƠNG (VỐN NƯỚC NGOÀI) NĂM 2026</t>
  </si>
  <si>
    <t>DỰ KIẾN KẾ HOẠCH ĐẦU TƯ CÔNG NĂM 2026 NGUỒN VỐN NGÂN SÁCH TRUNG ƯƠNG</t>
  </si>
  <si>
    <r>
      <t xml:space="preserve">Vốn bổ sung ngoài kế hoạch trung hạn </t>
    </r>
    <r>
      <rPr>
        <b/>
        <vertAlign val="superscript"/>
        <sz val="12"/>
        <rFont val="Times New Roman"/>
        <family val="1"/>
      </rPr>
      <t>(*)</t>
    </r>
  </si>
  <si>
    <t>Các chương trình, NV khác (Vốn điều lệ Quỹ ĐTPT, Ủy thác NHCSXH,…)</t>
  </si>
  <si>
    <t>Nhu cầu 2026</t>
  </si>
  <si>
    <t>985-13/9/2019;
NQ 12-12/3/2021;
795-29/12/2023; 
346-14/6/2024</t>
  </si>
  <si>
    <t>Số kiểm tra</t>
  </si>
  <si>
    <t>Lệch</t>
  </si>
  <si>
    <t>Kế hoạch năm 2025 đã giao</t>
  </si>
  <si>
    <t>Điều chỉnh tăng (KHV của HĐND cấp huyện giao tăng)</t>
  </si>
  <si>
    <t>Kế hoạch năm 2025 của tỉnh Quảng Ngãi</t>
  </si>
  <si>
    <t>Kế hoạch vốn năm 2025 của tỉnh Quảng Ngãi</t>
  </si>
  <si>
    <t>Kế hoạch vốn Thủ tướng Chính phủ giao</t>
  </si>
  <si>
    <t>Kế hoạch vốn HĐND tỉnh giao</t>
  </si>
  <si>
    <t>Ước giải ngân đến 31/8/2025</t>
  </si>
  <si>
    <t>Ước giải ngân đến 31/12/2025</t>
  </si>
  <si>
    <t>Giảm</t>
  </si>
  <si>
    <t>Tăng</t>
  </si>
  <si>
    <t>Giá trị</t>
  </si>
  <si>
    <t>Tỷ lệ giải ngân so với TTCP giao</t>
  </si>
  <si>
    <t>Tỷ lệ giải ngân so với HĐND tỉnh giao</t>
  </si>
  <si>
    <t xml:space="preserve">TỔNG CỘNG </t>
  </si>
  <si>
    <t>NGÂN SÁCH TRUNG ƯƠNG</t>
  </si>
  <si>
    <t>Vốn theo ngành, lĩnh vực</t>
  </si>
  <si>
    <t>+ Vốn hỗ trợ có mục tiêu theo ngành, lĩnh vực</t>
  </si>
  <si>
    <t>+ Đầu tư các dự án quan trọng quốc gia, dự án cao tốc, liên kết vùng, đường ven biển, dự án trọng điểm khác</t>
  </si>
  <si>
    <t>Vốn các Chương trình MTQG</t>
  </si>
  <si>
    <t>Vốn ODA</t>
  </si>
  <si>
    <t>Vốn thực hiện chương trình MTQG xây dựng nông thôn mới</t>
  </si>
  <si>
    <t>NGÂN SÁCH ĐỊA PHƯƠNG</t>
  </si>
  <si>
    <t>Vốn XDCB tập trung của tỉnh</t>
  </si>
  <si>
    <t>I.1</t>
  </si>
  <si>
    <t>Phân cấp các địa phương</t>
  </si>
  <si>
    <t>I.2</t>
  </si>
  <si>
    <t>Bố trí cho các chương trình, nhiệm vụ, dự án của tỉnh</t>
  </si>
  <si>
    <t>Bố trí quyết toán dự án hoàn thành</t>
  </si>
  <si>
    <t>Đối ứng ODA (bao gồm các dự án mới phát sinh)</t>
  </si>
  <si>
    <t>Vốn đối ứng của tỉnh thực hiện các Chương trình mục tiêu quốc gia và một số chương trình khác</t>
  </si>
  <si>
    <t>3.1</t>
  </si>
  <si>
    <t>Đối ứng Chương trình MTQG xây dựng Nông thôn mới (bao gồm bố trí thực hiện Chương trình hỗ trợ phát triển KTTT, HTX; Cấp nước sạch nông thôn; Giao thông nông thôn)</t>
  </si>
  <si>
    <t>3.2</t>
  </si>
  <si>
    <t>Đối ứng Chương trình MTQG Giảm nghèo bền vững</t>
  </si>
  <si>
    <t>3.3</t>
  </si>
  <si>
    <t>Đối ứng Chương trình MTQG phát triển kinh tế xã hội vùng đồng bào dân tộc thiểu số và miền núi</t>
  </si>
  <si>
    <t>Đối ứng các dự án sử dụng vốn NSTW</t>
  </si>
  <si>
    <t>Đối ứng kế hoạch trung hạn NSTW của tỉnh</t>
  </si>
  <si>
    <t>Đối ứng vốn của Bộ Ngành trung ương</t>
  </si>
  <si>
    <t>Đối ứng Chương trình phục hồi và phát triển KT-XH</t>
  </si>
  <si>
    <t xml:space="preserve">Bố trí vốn chuyển tiếp </t>
  </si>
  <si>
    <t>5.1</t>
  </si>
  <si>
    <t>Dự án chuyển tiếp từ giai đoạn 2016-2020 sang</t>
  </si>
  <si>
    <t>5.2</t>
  </si>
  <si>
    <t>Dự án khởi công từ năm 2021-2024, chuyển tiếp sang năm 2025</t>
  </si>
  <si>
    <t>Bố trí vốn cho dự án khởi công mới năm 2025</t>
  </si>
  <si>
    <t xml:space="preserve">Bố trí cho các dự án từ nguồn thu từ sắp xếp lại, xử lý nhà, đất thuộc sở hữu nhà nước </t>
  </si>
  <si>
    <t>Chuyển vốn phân cấp về tỉnh</t>
  </si>
  <si>
    <t>Chưa phân bổ</t>
  </si>
  <si>
    <r>
      <t xml:space="preserve">Bố trí Chương trình MTQG xây dựng Nông thôn mới </t>
    </r>
    <r>
      <rPr>
        <b/>
        <i/>
        <sz val="12"/>
        <rFont val="Times New Roman"/>
        <family val="1"/>
      </rPr>
      <t>(bao gồm bố trí thực hiện Chương trình hỗ trợ phát triển KTTT, HTX; Cấp nước sạch nông thôn; Giao thông nông thôn)</t>
    </r>
  </si>
  <si>
    <t>Bố trí thực hiện các dự án lĩnh vực y tế, giáo dục, văn hóa</t>
  </si>
  <si>
    <t>Bố trí chuyển tiếp từ giai đoạn 2016-2020</t>
  </si>
  <si>
    <t>Khởi công mới giai đoạn 2021 - 2025</t>
  </si>
  <si>
    <t>Khởi công 2021-2023</t>
  </si>
  <si>
    <t>Khởi công mới 2024-2025</t>
  </si>
  <si>
    <t xml:space="preserve">Nguồn thu tiền sử dụng đất và các nguồn hợp pháp khác </t>
  </si>
  <si>
    <t>III.1</t>
  </si>
  <si>
    <t xml:space="preserve">Giao huyện, thị xã, thành phố tự thu - chi </t>
  </si>
  <si>
    <t>III.2</t>
  </si>
  <si>
    <t>CHI QUẢN LÝ ĐẤT ĐAI</t>
  </si>
  <si>
    <t>III.3</t>
  </si>
  <si>
    <t>BỔ SUNG QUỸ PHÁT TRIỂN ĐẤT</t>
  </si>
  <si>
    <t>III.4</t>
  </si>
  <si>
    <t>Cấp bổ sung vốn điều lệ cho Quỹ đầu tư phát triển tỉnh</t>
  </si>
  <si>
    <t>III.5</t>
  </si>
  <si>
    <t>Bố trí đối ứng cho dự án sử dụng vốn NSTW</t>
  </si>
  <si>
    <t>NS huyện</t>
  </si>
  <si>
    <t>Chuyển nguồn thu tiền sử dụng đất cấp huyện về tỉnh</t>
  </si>
  <si>
    <t>III.6</t>
  </si>
  <si>
    <t>Nguồn tăng thu, tiết kiệm chi, các nguồn vốn hợp pháp khác</t>
  </si>
  <si>
    <t>Nguồn tăng thu, tiết kiệm chi ngân sách tỉnh năm 2024</t>
  </si>
  <si>
    <t>Chuyển nguồn tăng thu, tiết kiệm chi, cac nguồn vốn hợp pháp khác của cấp huyện về tỉnh</t>
  </si>
  <si>
    <t>HTMT cho xã, phường</t>
  </si>
  <si>
    <t>Nguồn bội chi ngân sách địa phương</t>
  </si>
  <si>
    <t>TÌNH HÌNH THỰC HIỆN KẾ HOẠCH VỐN ĐẦU TƯ CÔNG NĂM 2025
 VÀ DỰ KIẾN KẾ HOẠCH ĐẦU TƯ CÔNG NĂM 2026 THEO CÁC NGUỒN VỐN</t>
  </si>
  <si>
    <t>Phụ lục 8</t>
  </si>
  <si>
    <t>Phụ lục 9</t>
  </si>
  <si>
    <t>KH trung hạn giai đoạn 2021-2025</t>
  </si>
  <si>
    <t>Giải ngân kế hoạch năm</t>
  </si>
  <si>
    <t>KH 2025</t>
  </si>
  <si>
    <t>link</t>
  </si>
  <si>
    <t>Vốn ĐTPT</t>
  </si>
  <si>
    <t>Nâng cấp, bổ sung các trang thiết bị quan trắc môi trường</t>
  </si>
  <si>
    <t>Số 147-03/12/2024</t>
  </si>
  <si>
    <t>- Dự án của GĐ 2021-2025 chưa khởi công do hụt thu đầt;
- CAT có văn bản kiến nghị sớm triển khai; DA đã phê duyệt trong năm 2025</t>
  </si>
  <si>
    <t>Trường THCS THSP Lý Tự Trọng; hang mục:Xây mới bổ sung 24 phòng học, thư viện + 04 phòng bộ môn và các hạng mục phụ trợ khác</t>
  </si>
  <si>
    <t>VIII</t>
  </si>
  <si>
    <t>Đang đàm phán để ký kết Hiệp định vay, Hiệp định viện trợ của dự án</t>
  </si>
  <si>
    <t>Bố trí cho chương trình, nhiệm vụ, dự án đầu tư công</t>
  </si>
  <si>
    <t>2.3</t>
  </si>
  <si>
    <t>Quyết toán DAHT</t>
  </si>
  <si>
    <t xml:space="preserve"> DỰ KIẾN KẾ HOẠCH ĐẦU TƯ CÔNG NĂM 2026</t>
  </si>
  <si>
    <t>Đối ứng thực hiện các CTMTQG</t>
  </si>
  <si>
    <t>2.4</t>
  </si>
  <si>
    <t>2.5</t>
  </si>
  <si>
    <t>2.6</t>
  </si>
  <si>
    <t>2.7</t>
  </si>
  <si>
    <t>Dự kiến Kế hoạch vốn năm 2026</t>
  </si>
  <si>
    <t>Bố trí dự án theo ngành, lĩnh vực</t>
  </si>
  <si>
    <t>1.1</t>
  </si>
  <si>
    <t>1.2</t>
  </si>
  <si>
    <t>Vốn nước ngoài (ODA)</t>
  </si>
  <si>
    <t>2.8</t>
  </si>
  <si>
    <t>Chi đầu tư từ nguồn bội chi</t>
  </si>
  <si>
    <t>Trung tâm phát triển Quỹ đất tỉnh</t>
  </si>
  <si>
    <t>Sửa chữa, nâng cấp 15 hồ chứa nước bảo đảm an toàn đập, an ninh nguồn nước (Hòa Hải, Phượng Hoàng, Hàm Rồng, Hóc Mốc, Hóc Mít, Phước Tích, Tôn Dung, Ông Tới, Đồng Cần, Hố Tre, Suối Khoai, Bình Nam, Hóc Tùng, Đăk Trang, Đăk Lin)</t>
  </si>
  <si>
    <t>(Kèm theo Nghị quyết số 24/NQ-HĐND  ngày 22 tháng 8 năm 2025 của HĐND tỉnh Quảng Ngãi)</t>
  </si>
  <si>
    <t>Phụ lục 1</t>
  </si>
  <si>
    <t>Phụ lục 2</t>
  </si>
  <si>
    <t>Phụ lục 4</t>
  </si>
  <si>
    <t>Phụ lục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</si>
</sst>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0_);_(* \(#,##0\);_(* &quot;-&quot;_);_(@_)"/>
    <numFmt numFmtId="43" formatCode="_(* #,##0.00_);_(* \(#,##0.00\);_(* &quot;-&quot;??_);_(@_)"/>
    <numFmt numFmtId="164" formatCode="_-* #,##0.00_-;\-* #,##0.00_-;_-* &quot;-&quot;??_-;_-@_-"/>
    <numFmt numFmtId="165" formatCode="_-* #,##0_-;\-* #,##0_-;_-* &quot;-&quot;??_-;_-@_-"/>
    <numFmt numFmtId="166" formatCode="_(* #,##0_);_(* \(#,##0\);_(* &quot;-&quot;??_);_(@_)"/>
    <numFmt numFmtId="167" formatCode="#,##0.0"/>
    <numFmt numFmtId="168" formatCode="0.0%"/>
    <numFmt numFmtId="169" formatCode="#,##0.000"/>
    <numFmt numFmtId="170" formatCode="_(* #,##0.0_);_(* \(#,##0.0\);_(* &quot;-&quot;??_);_(@_)"/>
    <numFmt numFmtId="171" formatCode="_ * #,##0_ ;_ * \-#,##0_ ;_ * &quot;-&quot;_ ;_ @_ "/>
    <numFmt numFmtId="172" formatCode="0.0"/>
    <numFmt numFmtId="173" formatCode="00000"/>
    <numFmt numFmtId="174" formatCode="_-* #,##0\ _₫_-;\-* #,##0\ _₫_-;_-* &quot;-&quot;??\ _₫_-;_-@_-"/>
    <numFmt numFmtId="175" formatCode="_(* #,##0.000_);_(* \(#,##0.000\);_(* &quot;-&quot;??_);_(@_)"/>
    <numFmt numFmtId="176" formatCode="&quot;VND&quot;#,##0_);[Red]\(&quot;VND&quot;#,##0\)"/>
    <numFmt numFmtId="177" formatCode="_-* #,##0.000_-;\-* #,##0.000_-;_-* &quot;-&quot;??_-;_-@_-"/>
    <numFmt numFmtId="178" formatCode="_(* #,##0.00000_);_(* \(#,##0.00000\);_(* &quot;-&quot;??_);_(@_)"/>
  </numFmts>
  <fonts count="91">
    <font>
      <sz val="11"/>
      <color theme="1"/>
      <name val="Calibri"/>
      <family val="2"/>
      <scheme val="minor"/>
    </font>
    <font>
      <sz val="11"/>
      <color theme="1"/>
      <name val="Calibri"/>
      <family val="2"/>
      <scheme val="minor"/>
    </font>
    <font>
      <b/>
      <sz val="11"/>
      <color theme="1"/>
      <name val="Calibri"/>
      <family val="2"/>
      <scheme val="minor"/>
    </font>
    <font>
      <b/>
      <sz val="14"/>
      <color theme="1"/>
      <name val="Times New Roman"/>
      <family val="1"/>
    </font>
    <font>
      <sz val="16"/>
      <color theme="1"/>
      <name val="Times New Roman"/>
      <family val="1"/>
    </font>
    <font>
      <sz val="11"/>
      <color theme="1"/>
      <name val="Times New Roman"/>
      <family val="1"/>
    </font>
    <font>
      <i/>
      <sz val="12"/>
      <color theme="1"/>
      <name val="Times New Roman"/>
      <family val="1"/>
    </font>
    <font>
      <b/>
      <sz val="10"/>
      <name val="Times New Roman"/>
      <family val="1"/>
    </font>
    <font>
      <b/>
      <sz val="11"/>
      <name val="Times New Roman"/>
      <family val="1"/>
    </font>
    <font>
      <b/>
      <sz val="11"/>
      <color theme="1"/>
      <name val="Times New Roman"/>
      <family val="1"/>
    </font>
    <font>
      <b/>
      <sz val="12"/>
      <color theme="1"/>
      <name val="Times New Roman"/>
      <family val="1"/>
    </font>
    <font>
      <sz val="14"/>
      <color theme="1"/>
      <name val="Times New Roman"/>
      <family val="1"/>
    </font>
    <font>
      <sz val="10"/>
      <color theme="1"/>
      <name val="Times New Roman"/>
      <family val="1"/>
    </font>
    <font>
      <sz val="11"/>
      <color indexed="8"/>
      <name val="Calibri"/>
      <family val="2"/>
    </font>
    <font>
      <sz val="10"/>
      <name val="Times New Roman"/>
      <family val="1"/>
    </font>
    <font>
      <sz val="10"/>
      <name val="Arial"/>
      <family val="2"/>
    </font>
    <font>
      <sz val="11"/>
      <name val="Times New Roman"/>
      <family val="1"/>
    </font>
    <font>
      <sz val="9"/>
      <name val="Times New Roman"/>
      <family val="1"/>
    </font>
    <font>
      <sz val="10"/>
      <color indexed="8"/>
      <name val="Times New Roman"/>
      <family val="1"/>
    </font>
    <font>
      <sz val="11"/>
      <color theme="1"/>
      <name val="Calibri"/>
      <family val="2"/>
      <charset val="163"/>
      <scheme val="minor"/>
    </font>
    <font>
      <sz val="12"/>
      <name val="Times New Roman"/>
      <family val="1"/>
    </font>
    <font>
      <sz val="10"/>
      <color theme="1"/>
      <name val="Arial Narrow"/>
      <family val="2"/>
    </font>
    <font>
      <b/>
      <i/>
      <sz val="11"/>
      <name val="Times New Roman"/>
      <family val="1"/>
    </font>
    <font>
      <b/>
      <sz val="9"/>
      <color indexed="81"/>
      <name val="Tahoma"/>
      <family val="2"/>
    </font>
    <font>
      <sz val="9"/>
      <color indexed="81"/>
      <name val="Tahoma"/>
      <family val="2"/>
    </font>
    <font>
      <b/>
      <sz val="9"/>
      <color indexed="81"/>
      <name val="Tahoma"/>
      <family val="2"/>
      <charset val="163"/>
    </font>
    <font>
      <b/>
      <sz val="14"/>
      <name val="Times New Roman"/>
      <family val="1"/>
    </font>
    <font>
      <sz val="11"/>
      <name val="Calibri"/>
      <family val="2"/>
    </font>
    <font>
      <b/>
      <sz val="10"/>
      <name val="Arial Narrow"/>
      <family val="2"/>
    </font>
    <font>
      <sz val="10"/>
      <name val="Arial Narrow"/>
      <family val="2"/>
    </font>
    <font>
      <b/>
      <i/>
      <sz val="14"/>
      <color theme="1"/>
      <name val="Times New Roman"/>
      <family val="1"/>
    </font>
    <font>
      <b/>
      <sz val="14"/>
      <color indexed="8"/>
      <name val="Times New Roman"/>
      <family val="1"/>
    </font>
    <font>
      <sz val="11"/>
      <color indexed="8"/>
      <name val="Times New Roman"/>
      <family val="1"/>
    </font>
    <font>
      <i/>
      <sz val="11"/>
      <name val="Times New Roman"/>
      <family val="1"/>
    </font>
    <font>
      <sz val="10"/>
      <name val="Arial"/>
      <family val="2"/>
      <charset val="163"/>
    </font>
    <font>
      <b/>
      <sz val="16"/>
      <name val="Times New Roman"/>
      <family val="1"/>
    </font>
    <font>
      <i/>
      <sz val="16"/>
      <name val="Times New Roman"/>
      <family val="1"/>
    </font>
    <font>
      <i/>
      <sz val="10"/>
      <name val="Times New Roman"/>
      <family val="1"/>
    </font>
    <font>
      <i/>
      <sz val="14"/>
      <name val="Times New Roman"/>
      <family val="1"/>
    </font>
    <font>
      <b/>
      <sz val="12"/>
      <name val="Times New Roman"/>
      <family val="1"/>
    </font>
    <font>
      <sz val="12"/>
      <color theme="1"/>
      <name val="Calibri"/>
      <family val="2"/>
      <scheme val="minor"/>
    </font>
    <font>
      <sz val="11"/>
      <color indexed="8"/>
      <name val="Arial"/>
      <family val="2"/>
    </font>
    <font>
      <sz val="9"/>
      <name val="Arial Narrow"/>
      <family val="2"/>
    </font>
    <font>
      <b/>
      <sz val="9"/>
      <name val="Arial Narrow"/>
      <family val="2"/>
    </font>
    <font>
      <i/>
      <sz val="13"/>
      <name val="Times New Roman"/>
      <family val="1"/>
    </font>
    <font>
      <i/>
      <sz val="9"/>
      <name val="Times New Roman"/>
      <family val="1"/>
    </font>
    <font>
      <sz val="10"/>
      <color indexed="8"/>
      <name val="Calibri"/>
      <family val="2"/>
    </font>
    <font>
      <sz val="10"/>
      <color indexed="10"/>
      <name val="Times New Roman"/>
      <family val="1"/>
    </font>
    <font>
      <b/>
      <sz val="10"/>
      <color indexed="10"/>
      <name val="Times New Roman"/>
      <family val="1"/>
    </font>
    <font>
      <sz val="10"/>
      <name val="Calibri"/>
      <family val="2"/>
    </font>
    <font>
      <sz val="9"/>
      <name val="Calibri"/>
      <family val="2"/>
    </font>
    <font>
      <sz val="9"/>
      <color indexed="8"/>
      <name val="Times New Roman"/>
      <family val="1"/>
    </font>
    <font>
      <sz val="9"/>
      <color indexed="8"/>
      <name val="Calibri"/>
      <family val="2"/>
    </font>
    <font>
      <sz val="10"/>
      <color indexed="10"/>
      <name val="Calibri"/>
      <family val="2"/>
    </font>
    <font>
      <i/>
      <sz val="10"/>
      <color indexed="8"/>
      <name val="Times New Roman"/>
      <family val="1"/>
    </font>
    <font>
      <sz val="11"/>
      <color rgb="FFFF0000"/>
      <name val="Times New Roman"/>
      <family val="1"/>
      <charset val="163"/>
    </font>
    <font>
      <sz val="10"/>
      <color rgb="FFFF0000"/>
      <name val="Times New Roman"/>
      <family val="1"/>
      <charset val="163"/>
    </font>
    <font>
      <b/>
      <sz val="10"/>
      <color rgb="FFFF0000"/>
      <name val="Times New Roman"/>
      <family val="1"/>
      <charset val="163"/>
    </font>
    <font>
      <sz val="10"/>
      <color rgb="FFFF0000"/>
      <name val="Calibri"/>
      <family val="2"/>
      <charset val="163"/>
    </font>
    <font>
      <i/>
      <sz val="11"/>
      <color theme="1"/>
      <name val="Calibri"/>
      <family val="2"/>
      <charset val="163"/>
      <scheme val="minor"/>
    </font>
    <font>
      <i/>
      <sz val="12"/>
      <name val="Times New Roman"/>
      <family val="1"/>
    </font>
    <font>
      <b/>
      <i/>
      <sz val="13"/>
      <name val="Times New Roman"/>
      <family val="1"/>
    </font>
    <font>
      <sz val="14"/>
      <name val="Times New Roman"/>
      <family val="1"/>
    </font>
    <font>
      <sz val="8"/>
      <color theme="1"/>
      <name val="Calibri"/>
      <family val="2"/>
      <scheme val="minor"/>
    </font>
    <font>
      <sz val="11"/>
      <color rgb="FFFF0000"/>
      <name val="Calibri"/>
      <family val="2"/>
      <scheme val="minor"/>
    </font>
    <font>
      <b/>
      <i/>
      <sz val="14"/>
      <name val="Times New Roman"/>
      <family val="1"/>
    </font>
    <font>
      <b/>
      <i/>
      <sz val="12"/>
      <name val="Times New Roman"/>
      <family val="1"/>
    </font>
    <font>
      <i/>
      <sz val="18"/>
      <name val="Times New Roman"/>
      <family val="1"/>
    </font>
    <font>
      <sz val="18"/>
      <name val="Times New Roman"/>
      <family val="1"/>
    </font>
    <font>
      <i/>
      <sz val="14"/>
      <color theme="1"/>
      <name val="Times New Roman"/>
      <family val="1"/>
    </font>
    <font>
      <sz val="11"/>
      <color indexed="64"/>
      <name val="Calibri"/>
      <family val="2"/>
      <scheme val="minor"/>
    </font>
    <font>
      <sz val="12"/>
      <name val="VNtimes new roman"/>
      <family val="2"/>
    </font>
    <font>
      <sz val="10"/>
      <name val="VNtimes new roman"/>
      <family val="2"/>
    </font>
    <font>
      <sz val="10"/>
      <color rgb="FFFF0000"/>
      <name val="Calibri"/>
      <family val="2"/>
    </font>
    <font>
      <b/>
      <sz val="11"/>
      <name val="Calibri"/>
      <family val="2"/>
      <scheme val="minor"/>
    </font>
    <font>
      <sz val="11"/>
      <name val="Calibri"/>
      <family val="2"/>
      <scheme val="minor"/>
    </font>
    <font>
      <b/>
      <vertAlign val="superscript"/>
      <sz val="12"/>
      <name val="Times New Roman"/>
      <family val="1"/>
    </font>
    <font>
      <b/>
      <sz val="12"/>
      <color rgb="FFFF0000"/>
      <name val="Times New Roman"/>
      <family val="1"/>
    </font>
    <font>
      <sz val="12"/>
      <color theme="1"/>
      <name val="Times New Roman"/>
      <family val="1"/>
    </font>
    <font>
      <sz val="12"/>
      <color indexed="8"/>
      <name val="Times New Roman"/>
      <family val="1"/>
    </font>
    <font>
      <i/>
      <sz val="12"/>
      <color indexed="8"/>
      <name val="Times New Roman"/>
      <family val="1"/>
    </font>
    <font>
      <b/>
      <i/>
      <sz val="12"/>
      <color theme="1"/>
      <name val="Times New Roman"/>
      <family val="1"/>
    </font>
    <font>
      <b/>
      <sz val="11"/>
      <name val="Times New Roman"/>
      <family val="1"/>
      <charset val="163"/>
    </font>
    <font>
      <sz val="11"/>
      <name val="Times New Roman"/>
      <family val="1"/>
      <charset val="163"/>
    </font>
    <font>
      <i/>
      <sz val="11"/>
      <color theme="1"/>
      <name val="Times New Roman"/>
      <family val="1"/>
    </font>
    <font>
      <sz val="8"/>
      <name val="Calibri"/>
      <family val="2"/>
      <scheme val="minor"/>
    </font>
    <font>
      <sz val="10"/>
      <name val="Times New Roman"/>
      <family val="1"/>
      <charset val="163"/>
    </font>
    <font>
      <sz val="10"/>
      <color theme="1"/>
      <name val="Calibri"/>
      <family val="2"/>
    </font>
    <font>
      <sz val="11"/>
      <color theme="1"/>
      <name val="Calibri"/>
      <family val="2"/>
    </font>
    <font>
      <sz val="16"/>
      <name val="Times New Roman"/>
      <family val="1"/>
    </font>
    <font>
      <sz val="9"/>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indexed="9"/>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theme="7" tint="0.79998168889431442"/>
        <bgColor indexed="64"/>
      </patternFill>
    </fill>
    <fill>
      <patternFill patternType="solid">
        <fgColor rgb="FFFFFFCC"/>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s>
  <cellStyleXfs count="40">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3" fillId="0" borderId="0" applyFont="0" applyFill="0" applyBorder="0" applyAlignment="0" applyProtection="0"/>
    <xf numFmtId="0" fontId="15" fillId="0" borderId="0"/>
    <xf numFmtId="43" fontId="13" fillId="0" borderId="0" applyFont="0" applyFill="0" applyBorder="0" applyAlignment="0" applyProtection="0"/>
    <xf numFmtId="164" fontId="13" fillId="0" borderId="0" applyFont="0" applyFill="0" applyBorder="0" applyAlignment="0" applyProtection="0"/>
    <xf numFmtId="0" fontId="19" fillId="0" borderId="0"/>
    <xf numFmtId="0" fontId="15" fillId="0" borderId="0"/>
    <xf numFmtId="0" fontId="20" fillId="0" borderId="0"/>
    <xf numFmtId="0" fontId="1" fillId="0" borderId="0"/>
    <xf numFmtId="0" fontId="15" fillId="0" borderId="0"/>
    <xf numFmtId="0" fontId="1" fillId="0" borderId="0"/>
    <xf numFmtId="43" fontId="34" fillId="0" borderId="0" applyFont="0" applyFill="0" applyBorder="0" applyAlignment="0" applyProtection="0"/>
    <xf numFmtId="43" fontId="41" fillId="0" borderId="0" applyFont="0" applyFill="0" applyBorder="0" applyAlignment="0" applyProtection="0"/>
    <xf numFmtId="9"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0" fillId="0" borderId="0" applyFont="0" applyFill="0" applyBorder="0" applyAlignment="0" applyProtection="0"/>
    <xf numFmtId="0" fontId="20" fillId="0" borderId="0"/>
    <xf numFmtId="0" fontId="15" fillId="0" borderId="0"/>
    <xf numFmtId="0" fontId="1" fillId="0" borderId="0"/>
    <xf numFmtId="0" fontId="21" fillId="0" borderId="0"/>
    <xf numFmtId="43" fontId="1" fillId="0" borderId="0" applyFont="0" applyFill="0" applyBorder="0" applyAlignment="0" applyProtection="0"/>
    <xf numFmtId="0" fontId="13" fillId="0" borderId="0"/>
    <xf numFmtId="43" fontId="15" fillId="0" borderId="0" applyFont="0" applyFill="0" applyBorder="0" applyAlignment="0" applyProtection="0"/>
    <xf numFmtId="0" fontId="70" fillId="0" borderId="0"/>
    <xf numFmtId="169" fontId="13" fillId="0" borderId="0" applyFont="0" applyFill="0" applyBorder="0" applyAlignment="0" applyProtection="0"/>
    <xf numFmtId="0" fontId="71" fillId="0" borderId="0"/>
    <xf numFmtId="0" fontId="15" fillId="0" borderId="0"/>
    <xf numFmtId="176" fontId="72" fillId="0" borderId="0"/>
    <xf numFmtId="43" fontId="13" fillId="0" borderId="0" applyFont="0" applyFill="0" applyBorder="0" applyAlignment="0" applyProtection="0"/>
    <xf numFmtId="0" fontId="1" fillId="0" borderId="0"/>
    <xf numFmtId="0" fontId="1" fillId="0" borderId="0"/>
    <xf numFmtId="43" fontId="19" fillId="0" borderId="0" applyFont="0" applyFill="0" applyBorder="0" applyAlignment="0" applyProtection="0"/>
    <xf numFmtId="0" fontId="1" fillId="0" borderId="0"/>
    <xf numFmtId="43" fontId="1" fillId="0" borderId="0"/>
    <xf numFmtId="43" fontId="15" fillId="0" borderId="0" applyFont="0" applyFill="0" applyBorder="0" applyAlignment="0" applyProtection="0"/>
  </cellStyleXfs>
  <cellXfs count="963">
    <xf numFmtId="0" fontId="0" fillId="0" borderId="0" xfId="0"/>
    <xf numFmtId="0" fontId="4" fillId="0" borderId="0" xfId="0" applyFont="1" applyAlignment="1">
      <alignment vertical="center"/>
    </xf>
    <xf numFmtId="0" fontId="5" fillId="0" borderId="0" xfId="0" applyFont="1" applyAlignment="1">
      <alignment vertical="center"/>
    </xf>
    <xf numFmtId="166" fontId="5" fillId="0" borderId="0" xfId="0" applyNumberFormat="1" applyFont="1" applyAlignment="1">
      <alignment vertical="center"/>
    </xf>
    <xf numFmtId="4" fontId="3" fillId="0" borderId="0" xfId="0" applyNumberFormat="1" applyFont="1"/>
    <xf numFmtId="0" fontId="5" fillId="0" borderId="0" xfId="0" applyFont="1" applyAlignment="1">
      <alignment horizontal="center" vertical="center"/>
    </xf>
    <xf numFmtId="0" fontId="12" fillId="0" borderId="10" xfId="0" applyFont="1" applyBorder="1" applyAlignment="1">
      <alignment horizontal="center" vertical="center" wrapText="1"/>
    </xf>
    <xf numFmtId="0" fontId="12" fillId="0" borderId="10" xfId="0" applyFont="1" applyBorder="1" applyAlignment="1">
      <alignment horizontal="left" vertical="center" wrapText="1"/>
    </xf>
    <xf numFmtId="0" fontId="18" fillId="2" borderId="10" xfId="0" applyFont="1" applyFill="1" applyBorder="1" applyAlignment="1">
      <alignment horizontal="center" vertical="center" wrapText="1"/>
    </xf>
    <xf numFmtId="0" fontId="16" fillId="0" borderId="10" xfId="0" applyFont="1" applyBorder="1" applyAlignment="1">
      <alignment horizontal="center" vertical="center" wrapText="1"/>
    </xf>
    <xf numFmtId="166" fontId="22" fillId="0" borderId="0" xfId="3" applyNumberFormat="1" applyFont="1" applyAlignment="1">
      <alignment horizontal="right" vertical="center"/>
    </xf>
    <xf numFmtId="3" fontId="22" fillId="0" borderId="0" xfId="0" applyNumberFormat="1" applyFont="1" applyAlignment="1">
      <alignment vertical="center"/>
    </xf>
    <xf numFmtId="0" fontId="22" fillId="0" borderId="0" xfId="0" applyFont="1" applyAlignment="1">
      <alignment vertical="center"/>
    </xf>
    <xf numFmtId="166" fontId="22" fillId="0" borderId="0" xfId="0" applyNumberFormat="1" applyFont="1" applyAlignment="1">
      <alignment vertical="center"/>
    </xf>
    <xf numFmtId="165" fontId="22" fillId="0" borderId="0" xfId="4" applyNumberFormat="1" applyFont="1" applyAlignment="1">
      <alignment vertical="center"/>
    </xf>
    <xf numFmtId="165" fontId="22" fillId="0" borderId="0" xfId="3" applyNumberFormat="1" applyFont="1" applyFill="1" applyAlignment="1">
      <alignment vertical="center"/>
    </xf>
    <xf numFmtId="0" fontId="27" fillId="0" borderId="0" xfId="12" applyFont="1"/>
    <xf numFmtId="0" fontId="0" fillId="0" borderId="0" xfId="0" applyAlignment="1">
      <alignment horizontal="center"/>
    </xf>
    <xf numFmtId="3" fontId="28" fillId="0" borderId="12" xfId="12" applyNumberFormat="1" applyFont="1" applyBorder="1" applyAlignment="1">
      <alignment horizontal="right" vertical="center" wrapText="1"/>
    </xf>
    <xf numFmtId="3" fontId="0" fillId="0" borderId="0" xfId="0" applyNumberFormat="1"/>
    <xf numFmtId="0" fontId="27" fillId="0" borderId="0" xfId="12" applyFont="1" applyAlignment="1">
      <alignment horizontal="right"/>
    </xf>
    <xf numFmtId="3" fontId="30" fillId="0" borderId="0" xfId="0" applyNumberFormat="1" applyFont="1"/>
    <xf numFmtId="0" fontId="36" fillId="0" borderId="0" xfId="0" applyFont="1" applyAlignment="1">
      <alignment horizontal="center" vertical="top"/>
    </xf>
    <xf numFmtId="0" fontId="33" fillId="0" borderId="0" xfId="0" applyFont="1" applyAlignment="1">
      <alignment horizontal="center" vertical="top"/>
    </xf>
    <xf numFmtId="3" fontId="33" fillId="0" borderId="0" xfId="0" applyNumberFormat="1" applyFont="1" applyAlignment="1">
      <alignment horizontal="center" vertical="top"/>
    </xf>
    <xf numFmtId="3" fontId="37" fillId="0" borderId="0" xfId="0" applyNumberFormat="1" applyFont="1" applyAlignment="1">
      <alignment horizontal="center" vertical="top"/>
    </xf>
    <xf numFmtId="0" fontId="40" fillId="0" borderId="0" xfId="0" applyFont="1"/>
    <xf numFmtId="0" fontId="39" fillId="0" borderId="12"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0" xfId="0" applyFont="1" applyBorder="1" applyAlignment="1">
      <alignment vertical="center" wrapText="1"/>
    </xf>
    <xf numFmtId="3" fontId="20" fillId="0" borderId="10" xfId="0" applyNumberFormat="1" applyFont="1" applyBorder="1" applyAlignment="1">
      <alignment horizontal="center" vertical="center" wrapText="1"/>
    </xf>
    <xf numFmtId="3" fontId="2" fillId="0" borderId="0" xfId="0" applyNumberFormat="1" applyFont="1"/>
    <xf numFmtId="0" fontId="2" fillId="0" borderId="0" xfId="0" applyFont="1"/>
    <xf numFmtId="3" fontId="29" fillId="0" borderId="10" xfId="12" applyNumberFormat="1" applyFont="1" applyBorder="1" applyAlignment="1">
      <alignment horizontal="right" vertical="center" wrapText="1"/>
    </xf>
    <xf numFmtId="3" fontId="28" fillId="8" borderId="10" xfId="12" applyNumberFormat="1" applyFont="1" applyFill="1" applyBorder="1" applyAlignment="1">
      <alignment horizontal="right" vertical="center" wrapText="1"/>
    </xf>
    <xf numFmtId="0" fontId="26" fillId="0" borderId="0" xfId="0" applyFont="1" applyAlignment="1">
      <alignment horizontal="center" vertical="top" wrapText="1"/>
    </xf>
    <xf numFmtId="0" fontId="31" fillId="0" borderId="0" xfId="0" applyFont="1" applyAlignment="1">
      <alignment vertical="center"/>
    </xf>
    <xf numFmtId="0" fontId="26" fillId="0" borderId="0" xfId="0" applyFont="1" applyAlignment="1">
      <alignment horizontal="center" vertical="top"/>
    </xf>
    <xf numFmtId="173" fontId="44" fillId="0" borderId="0" xfId="0" applyNumberFormat="1" applyFont="1" applyAlignment="1">
      <alignment horizontal="center" vertical="top"/>
    </xf>
    <xf numFmtId="0" fontId="33" fillId="0" borderId="0" xfId="0" applyFont="1" applyAlignment="1">
      <alignment horizontal="center" vertical="center"/>
    </xf>
    <xf numFmtId="3" fontId="33" fillId="0" borderId="0" xfId="0" applyNumberFormat="1" applyFont="1" applyAlignment="1">
      <alignment horizontal="justify" vertical="center"/>
    </xf>
    <xf numFmtId="0" fontId="45" fillId="0" borderId="0" xfId="0" applyFont="1" applyAlignment="1">
      <alignment horizontal="center" vertical="top"/>
    </xf>
    <xf numFmtId="3" fontId="33" fillId="0" borderId="1" xfId="0" applyNumberFormat="1" applyFont="1" applyBorder="1" applyAlignment="1">
      <alignment horizontal="center" vertical="top"/>
    </xf>
    <xf numFmtId="0" fontId="33" fillId="0" borderId="1" xfId="0" applyFont="1" applyBorder="1" applyAlignment="1">
      <alignment horizontal="right" vertical="center"/>
    </xf>
    <xf numFmtId="0" fontId="33" fillId="0" borderId="0" xfId="0" applyFont="1" applyAlignment="1">
      <alignment horizontal="right" vertical="center"/>
    </xf>
    <xf numFmtId="167" fontId="7" fillId="0" borderId="0" xfId="0" applyNumberFormat="1" applyFont="1" applyAlignment="1">
      <alignment horizontal="center" vertical="center" wrapText="1"/>
    </xf>
    <xf numFmtId="0" fontId="46" fillId="0" borderId="0" xfId="0" applyFont="1"/>
    <xf numFmtId="166" fontId="46" fillId="0" borderId="0" xfId="0" applyNumberFormat="1" applyFont="1"/>
    <xf numFmtId="0" fontId="18" fillId="0" borderId="0" xfId="0" applyFont="1"/>
    <xf numFmtId="166" fontId="7" fillId="0" borderId="7" xfId="0" applyNumberFormat="1" applyFont="1" applyBorder="1" applyAlignment="1">
      <alignment horizontal="right" vertical="center" wrapText="1"/>
    </xf>
    <xf numFmtId="3" fontId="7" fillId="0" borderId="0" xfId="0" applyNumberFormat="1" applyFont="1" applyAlignment="1">
      <alignment horizontal="center" vertical="center" wrapText="1"/>
    </xf>
    <xf numFmtId="0" fontId="14" fillId="0" borderId="7" xfId="0" applyFont="1" applyBorder="1" applyAlignment="1">
      <alignment horizontal="center" vertical="center" wrapText="1"/>
    </xf>
    <xf numFmtId="0" fontId="14" fillId="0" borderId="7" xfId="0" applyFont="1" applyBorder="1" applyAlignment="1">
      <alignment horizontal="justify" vertical="center" wrapText="1"/>
    </xf>
    <xf numFmtId="0" fontId="14" fillId="0" borderId="3" xfId="0" applyFont="1" applyBorder="1" applyAlignment="1">
      <alignment horizontal="center" vertical="center" wrapText="1"/>
    </xf>
    <xf numFmtId="3" fontId="14" fillId="0" borderId="3" xfId="0" applyNumberFormat="1" applyFont="1" applyBorder="1" applyAlignment="1">
      <alignment horizontal="center" vertical="center" wrapText="1"/>
    </xf>
    <xf numFmtId="3" fontId="14" fillId="0" borderId="0" xfId="0" applyNumberFormat="1" applyFont="1" applyAlignment="1">
      <alignment horizontal="center" vertical="center" wrapText="1"/>
    </xf>
    <xf numFmtId="0" fontId="47" fillId="0" borderId="9" xfId="0" applyFont="1" applyBorder="1" applyAlignment="1">
      <alignment horizontal="center" vertical="center" wrapText="1"/>
    </xf>
    <xf numFmtId="0" fontId="48" fillId="0" borderId="9" xfId="0" applyFont="1" applyBorder="1" applyAlignment="1">
      <alignment horizontal="center" vertical="center" wrapText="1"/>
    </xf>
    <xf numFmtId="166" fontId="48" fillId="0" borderId="9" xfId="0" applyNumberFormat="1" applyFont="1" applyBorder="1" applyAlignment="1">
      <alignment horizontal="right" vertical="center" wrapText="1"/>
    </xf>
    <xf numFmtId="3" fontId="47" fillId="0" borderId="9" xfId="0" applyNumberFormat="1" applyFont="1" applyBorder="1" applyAlignment="1">
      <alignment horizontal="center" vertical="center" wrapText="1"/>
    </xf>
    <xf numFmtId="0" fontId="7" fillId="9" borderId="10" xfId="0" quotePrefix="1" applyFont="1" applyFill="1" applyBorder="1" applyAlignment="1">
      <alignment horizontal="center" vertical="top" wrapText="1"/>
    </xf>
    <xf numFmtId="0" fontId="7" fillId="9" borderId="10" xfId="0" applyFont="1" applyFill="1" applyBorder="1" applyAlignment="1">
      <alignment horizontal="justify" vertical="center" wrapText="1"/>
    </xf>
    <xf numFmtId="0" fontId="14" fillId="9" borderId="10" xfId="0" applyFont="1" applyFill="1" applyBorder="1" applyAlignment="1">
      <alignment horizontal="center" vertical="center" wrapText="1"/>
    </xf>
    <xf numFmtId="166" fontId="7" fillId="9" borderId="10" xfId="0" applyNumberFormat="1" applyFont="1" applyFill="1" applyBorder="1" applyAlignment="1">
      <alignment horizontal="right" vertical="center" wrapText="1"/>
    </xf>
    <xf numFmtId="3" fontId="14" fillId="9" borderId="10" xfId="0" applyNumberFormat="1" applyFont="1" applyFill="1" applyBorder="1" applyAlignment="1">
      <alignment horizontal="center" vertical="center" wrapText="1"/>
    </xf>
    <xf numFmtId="0" fontId="7" fillId="10" borderId="10" xfId="0" applyFont="1" applyFill="1" applyBorder="1" applyAlignment="1">
      <alignment horizontal="center" vertical="top" wrapText="1"/>
    </xf>
    <xf numFmtId="0" fontId="7" fillId="10" borderId="10" xfId="0" applyFont="1" applyFill="1" applyBorder="1" applyAlignment="1">
      <alignment horizontal="justify" vertical="center" wrapText="1"/>
    </xf>
    <xf numFmtId="0" fontId="14" fillId="10" borderId="10" xfId="0" applyFont="1" applyFill="1" applyBorder="1" applyAlignment="1">
      <alignment horizontal="center" vertical="center" wrapText="1"/>
    </xf>
    <xf numFmtId="166" fontId="7" fillId="10" borderId="10" xfId="0" applyNumberFormat="1" applyFont="1" applyFill="1" applyBorder="1" applyAlignment="1">
      <alignment horizontal="right" vertical="center" wrapText="1"/>
    </xf>
    <xf numFmtId="3" fontId="14" fillId="10" borderId="10" xfId="0" applyNumberFormat="1" applyFont="1" applyFill="1" applyBorder="1" applyAlignment="1">
      <alignment horizontal="center" vertical="center" wrapText="1"/>
    </xf>
    <xf numFmtId="0" fontId="32" fillId="0" borderId="10" xfId="0" applyFont="1" applyBorder="1" applyAlignment="1">
      <alignment horizontal="center" vertical="center"/>
    </xf>
    <xf numFmtId="0" fontId="14" fillId="0" borderId="10" xfId="0" applyFont="1" applyBorder="1" applyAlignment="1">
      <alignment horizontal="justify" vertical="center" wrapText="1"/>
    </xf>
    <xf numFmtId="0" fontId="14" fillId="0" borderId="10" xfId="0" applyFont="1" applyBorder="1" applyAlignment="1">
      <alignment horizontal="center" vertical="center" wrapText="1"/>
    </xf>
    <xf numFmtId="0" fontId="14" fillId="0" borderId="10" xfId="0" quotePrefix="1" applyFont="1" applyBorder="1" applyAlignment="1">
      <alignment horizontal="center" vertical="center" wrapText="1"/>
    </xf>
    <xf numFmtId="166" fontId="14" fillId="0" borderId="10" xfId="8" applyNumberFormat="1" applyFont="1" applyFill="1" applyBorder="1" applyAlignment="1">
      <alignment horizontal="center" vertical="center"/>
    </xf>
    <xf numFmtId="166" fontId="14" fillId="0" borderId="10" xfId="0" applyNumberFormat="1" applyFont="1" applyBorder="1" applyAlignment="1">
      <alignment horizontal="right" vertical="center" wrapText="1"/>
    </xf>
    <xf numFmtId="3" fontId="14" fillId="0" borderId="10" xfId="0" applyNumberFormat="1" applyFont="1" applyBorder="1" applyAlignment="1">
      <alignment horizontal="center" vertical="center" wrapText="1"/>
    </xf>
    <xf numFmtId="0" fontId="18" fillId="0" borderId="10" xfId="0" applyFont="1" applyBorder="1" applyAlignment="1">
      <alignment horizontal="justify" vertical="center" wrapText="1"/>
    </xf>
    <xf numFmtId="0" fontId="18" fillId="0" borderId="10" xfId="0" applyFont="1" applyBorder="1" applyAlignment="1">
      <alignment horizontal="center" vertical="center" wrapText="1"/>
    </xf>
    <xf numFmtId="0" fontId="18" fillId="0" borderId="10" xfId="0" applyFont="1" applyBorder="1" applyAlignment="1">
      <alignment vertical="center" wrapText="1"/>
    </xf>
    <xf numFmtId="3" fontId="18" fillId="0" borderId="10" xfId="0" applyNumberFormat="1" applyFont="1" applyBorder="1" applyAlignment="1">
      <alignment vertical="center" wrapText="1"/>
    </xf>
    <xf numFmtId="166" fontId="49" fillId="0" borderId="0" xfId="0" applyNumberFormat="1" applyFont="1"/>
    <xf numFmtId="0" fontId="49" fillId="0" borderId="0" xfId="0" applyFont="1"/>
    <xf numFmtId="0" fontId="27" fillId="0" borderId="0" xfId="0" applyFont="1"/>
    <xf numFmtId="0" fontId="7" fillId="10" borderId="10" xfId="0" quotePrefix="1" applyFont="1" applyFill="1" applyBorder="1" applyAlignment="1">
      <alignment horizontal="center" vertical="top" wrapText="1"/>
    </xf>
    <xf numFmtId="0" fontId="17" fillId="0" borderId="10" xfId="0" applyFont="1" applyBorder="1" applyAlignment="1">
      <alignment horizontal="justify" vertical="center" wrapText="1"/>
    </xf>
    <xf numFmtId="0" fontId="17" fillId="0" borderId="10" xfId="0" quotePrefix="1" applyFont="1" applyBorder="1" applyAlignment="1">
      <alignment horizontal="center" vertical="center" wrapText="1"/>
    </xf>
    <xf numFmtId="0" fontId="17" fillId="0" borderId="10" xfId="0" applyFont="1" applyBorder="1" applyAlignment="1">
      <alignment horizontal="center" vertical="center" wrapText="1"/>
    </xf>
    <xf numFmtId="166" fontId="17" fillId="0" borderId="10" xfId="0" applyNumberFormat="1" applyFont="1" applyBorder="1" applyAlignment="1">
      <alignment horizontal="right" vertical="center" wrapText="1"/>
    </xf>
    <xf numFmtId="3" fontId="17" fillId="0" borderId="10" xfId="0" applyNumberFormat="1" applyFont="1" applyBorder="1" applyAlignment="1">
      <alignment horizontal="center" vertical="center" wrapText="1"/>
    </xf>
    <xf numFmtId="3" fontId="17" fillId="0" borderId="0" xfId="0" applyNumberFormat="1" applyFont="1" applyAlignment="1">
      <alignment horizontal="center" vertical="center" wrapText="1"/>
    </xf>
    <xf numFmtId="166" fontId="50" fillId="0" borderId="0" xfId="0" applyNumberFormat="1" applyFont="1"/>
    <xf numFmtId="0" fontId="50" fillId="0" borderId="0" xfId="0" applyFont="1"/>
    <xf numFmtId="0" fontId="51" fillId="0" borderId="10" xfId="0" applyFont="1" applyBorder="1" applyAlignment="1">
      <alignment horizontal="justify" vertical="center" wrapText="1"/>
    </xf>
    <xf numFmtId="0" fontId="51" fillId="0" borderId="10" xfId="0" applyFont="1" applyBorder="1" applyAlignment="1">
      <alignment horizontal="center" vertical="center" wrapText="1"/>
    </xf>
    <xf numFmtId="0" fontId="51" fillId="0" borderId="10" xfId="0" applyFont="1" applyBorder="1" applyAlignment="1">
      <alignment vertical="center" wrapText="1"/>
    </xf>
    <xf numFmtId="3" fontId="51" fillId="0" borderId="10" xfId="0" applyNumberFormat="1" applyFont="1" applyBorder="1" applyAlignment="1">
      <alignment vertical="center" wrapText="1"/>
    </xf>
    <xf numFmtId="0" fontId="17" fillId="0" borderId="10" xfId="0" applyFont="1" applyBorder="1" applyAlignment="1">
      <alignment horizontal="center" vertical="top" wrapText="1"/>
    </xf>
    <xf numFmtId="0" fontId="51" fillId="0" borderId="10" xfId="0" applyFont="1" applyBorder="1" applyAlignment="1">
      <alignment horizontal="center" vertical="center"/>
    </xf>
    <xf numFmtId="41" fontId="17" fillId="0" borderId="10" xfId="6" applyNumberFormat="1" applyFont="1" applyBorder="1" applyAlignment="1">
      <alignment horizontal="center" vertical="center" wrapText="1"/>
    </xf>
    <xf numFmtId="0" fontId="51" fillId="0" borderId="10" xfId="0" applyFont="1" applyBorder="1" applyAlignment="1">
      <alignment vertical="center"/>
    </xf>
    <xf numFmtId="3" fontId="51" fillId="0" borderId="10" xfId="0" applyNumberFormat="1" applyFont="1" applyBorder="1" applyAlignment="1">
      <alignment vertical="center"/>
    </xf>
    <xf numFmtId="0" fontId="52" fillId="0" borderId="10" xfId="0" applyFont="1" applyBorder="1" applyAlignment="1">
      <alignment vertical="center"/>
    </xf>
    <xf numFmtId="0" fontId="52" fillId="0" borderId="10" xfId="0" applyFont="1" applyBorder="1" applyAlignment="1">
      <alignment horizontal="center"/>
    </xf>
    <xf numFmtId="0" fontId="52" fillId="0" borderId="10" xfId="0" applyFont="1" applyBorder="1"/>
    <xf numFmtId="166" fontId="51" fillId="0" borderId="10" xfId="14" applyNumberFormat="1" applyFont="1" applyBorder="1" applyAlignment="1">
      <alignment horizontal="right" vertical="center" wrapText="1"/>
    </xf>
    <xf numFmtId="165" fontId="51" fillId="0" borderId="10" xfId="8" applyNumberFormat="1" applyFont="1" applyFill="1" applyBorder="1" applyAlignment="1">
      <alignment vertical="center"/>
    </xf>
    <xf numFmtId="0" fontId="14" fillId="0" borderId="10" xfId="0" quotePrefix="1" applyFont="1" applyBorder="1" applyAlignment="1">
      <alignment horizontal="justify" vertical="center" wrapText="1"/>
    </xf>
    <xf numFmtId="166" fontId="14" fillId="0" borderId="10" xfId="8" applyNumberFormat="1" applyFont="1" applyFill="1" applyBorder="1" applyAlignment="1">
      <alignment horizontal="right" vertical="center" wrapText="1"/>
    </xf>
    <xf numFmtId="166" fontId="7" fillId="0" borderId="10" xfId="0" applyNumberFormat="1" applyFont="1" applyBorder="1" applyAlignment="1">
      <alignment horizontal="right" vertical="center" wrapText="1"/>
    </xf>
    <xf numFmtId="165" fontId="14" fillId="0" borderId="10" xfId="0" applyNumberFormat="1" applyFont="1" applyBorder="1" applyAlignment="1">
      <alignment horizontal="center" vertical="center" wrapText="1"/>
    </xf>
    <xf numFmtId="165" fontId="14" fillId="0" borderId="10" xfId="8" applyNumberFormat="1" applyFont="1" applyFill="1" applyBorder="1" applyAlignment="1">
      <alignment horizontal="center" vertical="center" wrapText="1"/>
    </xf>
    <xf numFmtId="3" fontId="14" fillId="0" borderId="10" xfId="17" applyNumberFormat="1" applyFont="1" applyFill="1" applyBorder="1" applyAlignment="1">
      <alignment horizontal="center" vertical="top" wrapText="1"/>
    </xf>
    <xf numFmtId="3" fontId="49" fillId="0" borderId="0" xfId="0" applyNumberFormat="1" applyFont="1" applyAlignment="1">
      <alignment vertical="top"/>
    </xf>
    <xf numFmtId="0" fontId="49" fillId="0" borderId="0" xfId="0" applyFont="1" applyAlignment="1">
      <alignment vertical="top"/>
    </xf>
    <xf numFmtId="0" fontId="27" fillId="0" borderId="0" xfId="0" applyFont="1" applyAlignment="1">
      <alignment vertical="top"/>
    </xf>
    <xf numFmtId="0" fontId="14" fillId="10" borderId="10" xfId="0" applyFont="1" applyFill="1" applyBorder="1" applyAlignment="1">
      <alignment horizontal="center" vertical="top" wrapText="1"/>
    </xf>
    <xf numFmtId="3" fontId="7" fillId="10" borderId="10" xfId="17" applyNumberFormat="1" applyFont="1" applyFill="1" applyBorder="1" applyAlignment="1">
      <alignment horizontal="right" vertical="top" wrapText="1"/>
    </xf>
    <xf numFmtId="3" fontId="7" fillId="10" borderId="10" xfId="17" applyNumberFormat="1" applyFont="1" applyFill="1" applyBorder="1" applyAlignment="1">
      <alignment horizontal="center" vertical="top" wrapText="1"/>
    </xf>
    <xf numFmtId="3" fontId="46" fillId="0" borderId="0" xfId="0" applyNumberFormat="1" applyFont="1" applyAlignment="1">
      <alignment vertical="top"/>
    </xf>
    <xf numFmtId="0" fontId="46" fillId="0" borderId="0" xfId="0" applyFont="1" applyAlignment="1">
      <alignment vertical="top"/>
    </xf>
    <xf numFmtId="0" fontId="0" fillId="0" borderId="0" xfId="0" applyAlignment="1">
      <alignment vertical="top"/>
    </xf>
    <xf numFmtId="0" fontId="14" fillId="6" borderId="10" xfId="0" applyFont="1" applyFill="1" applyBorder="1" applyAlignment="1">
      <alignment horizontal="center" vertical="center" wrapText="1"/>
    </xf>
    <xf numFmtId="166" fontId="14" fillId="0" borderId="10" xfId="0" applyNumberFormat="1" applyFont="1" applyBorder="1" applyAlignment="1">
      <alignment horizontal="left" vertical="top" wrapText="1"/>
    </xf>
    <xf numFmtId="0" fontId="14" fillId="0" borderId="20" xfId="0" applyFont="1" applyBorder="1" applyAlignment="1">
      <alignment horizontal="left" vertical="top" wrapText="1"/>
    </xf>
    <xf numFmtId="9" fontId="49" fillId="0" borderId="0" xfId="17" applyFont="1" applyFill="1" applyAlignment="1">
      <alignment vertical="top"/>
    </xf>
    <xf numFmtId="0" fontId="14" fillId="0" borderId="10" xfId="0" applyFont="1" applyBorder="1" applyAlignment="1">
      <alignment horizontal="left" vertical="top" wrapText="1"/>
    </xf>
    <xf numFmtId="0" fontId="18" fillId="0" borderId="10" xfId="0" applyFont="1" applyBorder="1" applyAlignment="1">
      <alignment horizontal="left" vertical="center" wrapText="1"/>
    </xf>
    <xf numFmtId="1" fontId="18" fillId="0" borderId="10" xfId="0" applyNumberFormat="1" applyFont="1" applyBorder="1" applyAlignment="1">
      <alignment horizontal="justify" vertical="center" wrapText="1"/>
    </xf>
    <xf numFmtId="172" fontId="18" fillId="0" borderId="10" xfId="0" applyNumberFormat="1" applyFont="1" applyBorder="1" applyAlignment="1">
      <alignment horizontal="center" vertical="center" wrapText="1"/>
    </xf>
    <xf numFmtId="1" fontId="18" fillId="0" borderId="10" xfId="0" applyNumberFormat="1" applyFont="1" applyBorder="1" applyAlignment="1">
      <alignment horizontal="center" vertical="center" wrapText="1"/>
    </xf>
    <xf numFmtId="166" fontId="18" fillId="0" borderId="10" xfId="0" applyNumberFormat="1" applyFont="1" applyBorder="1" applyAlignment="1">
      <alignment horizontal="right" vertical="center" wrapText="1"/>
    </xf>
    <xf numFmtId="172" fontId="18" fillId="0" borderId="10" xfId="0" applyNumberFormat="1" applyFont="1" applyBorder="1" applyAlignment="1">
      <alignment horizontal="center" vertical="top" wrapText="1"/>
    </xf>
    <xf numFmtId="172" fontId="18" fillId="0" borderId="10" xfId="0" applyNumberFormat="1" applyFont="1" applyBorder="1" applyAlignment="1">
      <alignment horizontal="left" vertical="center" wrapText="1"/>
    </xf>
    <xf numFmtId="1" fontId="18" fillId="0" borderId="10" xfId="6" applyNumberFormat="1" applyFont="1" applyBorder="1" applyAlignment="1">
      <alignment horizontal="justify" vertical="center" wrapText="1"/>
    </xf>
    <xf numFmtId="1" fontId="18" fillId="0" borderId="10" xfId="6" applyNumberFormat="1" applyFont="1" applyBorder="1" applyAlignment="1">
      <alignment horizontal="center" vertical="center" wrapText="1"/>
    </xf>
    <xf numFmtId="3" fontId="7" fillId="0" borderId="10" xfId="17" applyNumberFormat="1" applyFont="1" applyFill="1" applyBorder="1" applyAlignment="1">
      <alignment horizontal="right" vertical="top" wrapText="1"/>
    </xf>
    <xf numFmtId="3" fontId="7" fillId="0" borderId="10" xfId="17" applyNumberFormat="1" applyFont="1" applyFill="1" applyBorder="1" applyAlignment="1">
      <alignment horizontal="left" vertical="top" wrapText="1"/>
    </xf>
    <xf numFmtId="49" fontId="18" fillId="0" borderId="10" xfId="0" applyNumberFormat="1" applyFont="1" applyBorder="1" applyAlignment="1">
      <alignment horizontal="left" vertical="center" wrapText="1"/>
    </xf>
    <xf numFmtId="166" fontId="14" fillId="0" borderId="10" xfId="7" applyNumberFormat="1" applyFont="1" applyFill="1" applyBorder="1" applyAlignment="1">
      <alignment horizontal="justify" vertical="center" wrapText="1"/>
    </xf>
    <xf numFmtId="166" fontId="14" fillId="0" borderId="10" xfId="7" applyNumberFormat="1" applyFont="1" applyFill="1" applyBorder="1" applyAlignment="1">
      <alignment horizontal="center" vertical="center" wrapText="1"/>
    </xf>
    <xf numFmtId="0" fontId="18" fillId="0" borderId="10" xfId="0" applyFont="1" applyBorder="1"/>
    <xf numFmtId="3" fontId="14" fillId="0" borderId="10" xfId="0" applyNumberFormat="1" applyFont="1" applyBorder="1" applyAlignment="1">
      <alignment horizontal="right" vertical="center" wrapText="1"/>
    </xf>
    <xf numFmtId="0" fontId="18" fillId="0" borderId="10" xfId="0" quotePrefix="1" applyFont="1" applyBorder="1"/>
    <xf numFmtId="0" fontId="18" fillId="10" borderId="10" xfId="0" quotePrefix="1" applyFont="1" applyFill="1" applyBorder="1" applyAlignment="1">
      <alignment horizontal="left" vertical="top" wrapText="1"/>
    </xf>
    <xf numFmtId="49" fontId="14" fillId="10" borderId="10" xfId="0" applyNumberFormat="1" applyFont="1" applyFill="1" applyBorder="1" applyAlignment="1">
      <alignment horizontal="left" vertical="top" wrapText="1"/>
    </xf>
    <xf numFmtId="174" fontId="14" fillId="10" borderId="10" xfId="8" applyNumberFormat="1" applyFont="1" applyFill="1" applyBorder="1" applyAlignment="1">
      <alignment horizontal="right" vertical="top" wrapText="1"/>
    </xf>
    <xf numFmtId="0" fontId="18" fillId="0" borderId="10" xfId="0" quotePrefix="1" applyFont="1" applyBorder="1" applyAlignment="1">
      <alignment horizontal="left" vertical="center" wrapText="1"/>
    </xf>
    <xf numFmtId="0" fontId="7" fillId="0" borderId="10" xfId="0" applyFont="1" applyBorder="1" applyAlignment="1">
      <alignment horizontal="center" vertical="top" wrapText="1"/>
    </xf>
    <xf numFmtId="166" fontId="18" fillId="0" borderId="10" xfId="0" applyNumberFormat="1" applyFont="1" applyBorder="1" applyAlignment="1">
      <alignment horizontal="center" vertical="center" wrapText="1"/>
    </xf>
    <xf numFmtId="0" fontId="7" fillId="0" borderId="10" xfId="0" applyFont="1" applyBorder="1" applyAlignment="1">
      <alignment horizontal="right" vertical="top" wrapText="1"/>
    </xf>
    <xf numFmtId="174" fontId="14" fillId="0" borderId="10" xfId="8" applyNumberFormat="1" applyFont="1" applyFill="1" applyBorder="1" applyAlignment="1">
      <alignment horizontal="right" vertical="top" wrapText="1"/>
    </xf>
    <xf numFmtId="174" fontId="7" fillId="0" borderId="10" xfId="8" applyNumberFormat="1" applyFont="1" applyFill="1" applyBorder="1" applyAlignment="1">
      <alignment horizontal="right" vertical="top" wrapText="1"/>
    </xf>
    <xf numFmtId="49" fontId="14" fillId="0" borderId="10" xfId="0" applyNumberFormat="1" applyFont="1" applyBorder="1" applyAlignment="1">
      <alignment horizontal="left" vertical="top" wrapText="1"/>
    </xf>
    <xf numFmtId="0" fontId="14" fillId="0" borderId="0" xfId="0" applyFont="1" applyAlignment="1">
      <alignment horizontal="left" vertical="top" wrapText="1"/>
    </xf>
    <xf numFmtId="0" fontId="18" fillId="0" borderId="10" xfId="0" applyFont="1" applyBorder="1" applyAlignment="1">
      <alignment horizontal="center" vertical="top" wrapText="1"/>
    </xf>
    <xf numFmtId="175" fontId="18" fillId="0" borderId="10" xfId="18" applyNumberFormat="1" applyFont="1" applyFill="1" applyBorder="1" applyAlignment="1">
      <alignment horizontal="center" vertical="center" wrapText="1"/>
    </xf>
    <xf numFmtId="1" fontId="18" fillId="0" borderId="10" xfId="6" applyNumberFormat="1" applyFont="1" applyBorder="1" applyAlignment="1">
      <alignment vertical="center" wrapText="1"/>
    </xf>
    <xf numFmtId="3" fontId="7" fillId="10" borderId="10" xfId="17" applyNumberFormat="1" applyFont="1" applyFill="1" applyBorder="1" applyAlignment="1">
      <alignment horizontal="left" vertical="top" wrapText="1"/>
    </xf>
    <xf numFmtId="0" fontId="14" fillId="6" borderId="10" xfId="0" applyFont="1" applyFill="1" applyBorder="1" applyAlignment="1">
      <alignment horizontal="justify" vertical="center" wrapText="1"/>
    </xf>
    <xf numFmtId="3" fontId="14" fillId="6" borderId="10" xfId="17" applyNumberFormat="1" applyFont="1" applyFill="1" applyBorder="1" applyAlignment="1">
      <alignment horizontal="right" vertical="center" wrapText="1"/>
    </xf>
    <xf numFmtId="166" fontId="14" fillId="0" borderId="10" xfId="19" applyNumberFormat="1" applyFont="1" applyFill="1" applyBorder="1" applyAlignment="1">
      <alignment horizontal="right" vertical="center" wrapText="1"/>
    </xf>
    <xf numFmtId="1" fontId="14" fillId="0" borderId="10" xfId="6" applyNumberFormat="1" applyFont="1" applyBorder="1" applyAlignment="1">
      <alignment horizontal="justify" vertical="center" wrapText="1"/>
    </xf>
    <xf numFmtId="1" fontId="14" fillId="0" borderId="10" xfId="0" applyNumberFormat="1" applyFont="1" applyBorder="1" applyAlignment="1">
      <alignment horizontal="center" vertical="center" wrapText="1"/>
    </xf>
    <xf numFmtId="49" fontId="14" fillId="0" borderId="10" xfId="0" applyNumberFormat="1" applyFont="1" applyBorder="1" applyAlignment="1">
      <alignment horizontal="left" vertical="center" wrapText="1"/>
    </xf>
    <xf numFmtId="166" fontId="14" fillId="0" borderId="10" xfId="0" applyNumberFormat="1" applyFont="1" applyBorder="1" applyAlignment="1">
      <alignment horizontal="center" vertical="center" wrapText="1"/>
    </xf>
    <xf numFmtId="172" fontId="14" fillId="0" borderId="10" xfId="0" applyNumberFormat="1" applyFont="1" applyBorder="1" applyAlignment="1">
      <alignment horizontal="center" vertical="center" wrapText="1"/>
    </xf>
    <xf numFmtId="0" fontId="7" fillId="10" borderId="10" xfId="0" applyFont="1" applyFill="1" applyBorder="1" applyAlignment="1">
      <alignment horizontal="center" vertical="center" wrapText="1"/>
    </xf>
    <xf numFmtId="166" fontId="7" fillId="10" borderId="10" xfId="8" applyNumberFormat="1" applyFont="1" applyFill="1" applyBorder="1" applyAlignment="1">
      <alignment horizontal="right" vertical="center" wrapText="1"/>
    </xf>
    <xf numFmtId="9" fontId="53" fillId="0" borderId="0" xfId="17" applyFont="1" applyFill="1" applyAlignment="1">
      <alignment vertical="top"/>
    </xf>
    <xf numFmtId="0" fontId="46" fillId="0" borderId="0" xfId="0" applyFont="1" applyAlignment="1">
      <alignment vertical="center"/>
    </xf>
    <xf numFmtId="0" fontId="0" fillId="0" borderId="0" xfId="0" applyAlignment="1">
      <alignment vertical="center"/>
    </xf>
    <xf numFmtId="166" fontId="7" fillId="10" borderId="10" xfId="8" applyNumberFormat="1" applyFont="1" applyFill="1" applyBorder="1" applyAlignment="1">
      <alignment horizontal="right" vertical="top" wrapText="1"/>
    </xf>
    <xf numFmtId="3" fontId="14" fillId="10" borderId="10" xfId="0" applyNumberFormat="1" applyFont="1" applyFill="1" applyBorder="1" applyAlignment="1">
      <alignment horizontal="center" vertical="top" wrapText="1"/>
    </xf>
    <xf numFmtId="1" fontId="18" fillId="11" borderId="10" xfId="0" applyNumberFormat="1" applyFont="1" applyFill="1" applyBorder="1" applyAlignment="1">
      <alignment horizontal="center" vertical="center" wrapText="1"/>
    </xf>
    <xf numFmtId="0" fontId="14" fillId="0" borderId="10" xfId="0" applyFont="1" applyBorder="1" applyAlignment="1">
      <alignment horizontal="center" vertical="top" wrapText="1"/>
    </xf>
    <xf numFmtId="166" fontId="14" fillId="0" borderId="10" xfId="7" applyNumberFormat="1" applyFont="1" applyFill="1" applyBorder="1" applyAlignment="1">
      <alignment horizontal="center" vertical="top" wrapText="1"/>
    </xf>
    <xf numFmtId="3" fontId="14" fillId="2" borderId="10" xfId="6" quotePrefix="1" applyNumberFormat="1" applyFont="1" applyFill="1" applyBorder="1" applyAlignment="1">
      <alignment horizontal="center" vertical="top" wrapText="1"/>
    </xf>
    <xf numFmtId="49" fontId="14" fillId="0" borderId="10" xfId="18" applyNumberFormat="1" applyFont="1" applyFill="1" applyBorder="1" applyAlignment="1">
      <alignment horizontal="center" vertical="top" wrapText="1"/>
    </xf>
    <xf numFmtId="3" fontId="14" fillId="0" borderId="10" xfId="0" applyNumberFormat="1" applyFont="1" applyBorder="1" applyAlignment="1">
      <alignment horizontal="center" vertical="top" wrapText="1"/>
    </xf>
    <xf numFmtId="3" fontId="14" fillId="0" borderId="10" xfId="6" quotePrefix="1" applyNumberFormat="1" applyFont="1" applyBorder="1" applyAlignment="1">
      <alignment horizontal="right" vertical="top" wrapText="1"/>
    </xf>
    <xf numFmtId="166" fontId="14" fillId="0" borderId="10" xfId="8" applyNumberFormat="1" applyFont="1" applyFill="1" applyBorder="1" applyAlignment="1">
      <alignment horizontal="right" vertical="top" wrapText="1"/>
    </xf>
    <xf numFmtId="0" fontId="14" fillId="0" borderId="10" xfId="0" applyFont="1" applyBorder="1" applyAlignment="1">
      <alignment horizontal="center" vertical="top"/>
    </xf>
    <xf numFmtId="0" fontId="14" fillId="6" borderId="11" xfId="0" applyFont="1" applyFill="1" applyBorder="1" applyAlignment="1">
      <alignment horizontal="left" vertical="center" wrapText="1"/>
    </xf>
    <xf numFmtId="0" fontId="14" fillId="6" borderId="11" xfId="0" quotePrefix="1" applyFont="1" applyFill="1" applyBorder="1" applyAlignment="1">
      <alignment horizontal="center" vertical="center" wrapText="1"/>
    </xf>
    <xf numFmtId="0" fontId="16" fillId="6" borderId="11" xfId="0" applyFont="1" applyFill="1" applyBorder="1" applyAlignment="1">
      <alignment horizontal="center" vertical="center" wrapText="1"/>
    </xf>
    <xf numFmtId="3" fontId="14" fillId="0" borderId="10" xfId="0" applyNumberFormat="1" applyFont="1" applyBorder="1" applyAlignment="1">
      <alignment horizontal="left" vertical="top" wrapText="1"/>
    </xf>
    <xf numFmtId="0" fontId="14" fillId="0" borderId="10" xfId="0" applyFont="1" applyBorder="1" applyAlignment="1">
      <alignment vertical="top"/>
    </xf>
    <xf numFmtId="3" fontId="18" fillId="11" borderId="10" xfId="0" applyNumberFormat="1" applyFont="1" applyFill="1" applyBorder="1" applyAlignment="1">
      <alignment horizontal="right" vertical="top"/>
    </xf>
    <xf numFmtId="166" fontId="14" fillId="11" borderId="10" xfId="8" applyNumberFormat="1" applyFont="1" applyFill="1" applyBorder="1" applyAlignment="1">
      <alignment vertical="top"/>
    </xf>
    <xf numFmtId="166" fontId="18" fillId="11" borderId="10" xfId="0" applyNumberFormat="1" applyFont="1" applyFill="1" applyBorder="1" applyAlignment="1">
      <alignment horizontal="right" vertical="top"/>
    </xf>
    <xf numFmtId="166" fontId="14" fillId="11" borderId="10" xfId="8" applyNumberFormat="1" applyFont="1" applyFill="1" applyBorder="1" applyAlignment="1">
      <alignment horizontal="right" vertical="top" wrapText="1"/>
    </xf>
    <xf numFmtId="166" fontId="14" fillId="11" borderId="10" xfId="8" applyNumberFormat="1" applyFont="1" applyFill="1" applyBorder="1" applyAlignment="1">
      <alignment vertical="top" wrapText="1"/>
    </xf>
    <xf numFmtId="3" fontId="18" fillId="0" borderId="10" xfId="0" applyNumberFormat="1" applyFont="1" applyBorder="1" applyAlignment="1">
      <alignment horizontal="right" vertical="top"/>
    </xf>
    <xf numFmtId="166" fontId="14" fillId="0" borderId="10" xfId="8" applyNumberFormat="1" applyFont="1" applyFill="1" applyBorder="1" applyAlignment="1">
      <alignment vertical="top"/>
    </xf>
    <xf numFmtId="166" fontId="14" fillId="0" borderId="10" xfId="8" applyNumberFormat="1" applyFont="1" applyFill="1" applyBorder="1" applyAlignment="1">
      <alignment vertical="top" wrapText="1"/>
    </xf>
    <xf numFmtId="0" fontId="18" fillId="11" borderId="10" xfId="0" applyFont="1" applyFill="1" applyBorder="1" applyAlignment="1">
      <alignment horizontal="center" vertical="center" wrapText="1"/>
    </xf>
    <xf numFmtId="3" fontId="14" fillId="0" borderId="10" xfId="6" quotePrefix="1" applyNumberFormat="1" applyFont="1" applyBorder="1" applyAlignment="1">
      <alignment horizontal="center" vertical="center" wrapText="1"/>
    </xf>
    <xf numFmtId="0" fontId="18" fillId="0" borderId="10" xfId="0" applyFont="1" applyBorder="1" applyAlignment="1">
      <alignment horizontal="justify" vertical="center"/>
    </xf>
    <xf numFmtId="41" fontId="14" fillId="0" borderId="10" xfId="6" applyNumberFormat="1" applyFont="1" applyBorder="1" applyAlignment="1">
      <alignment horizontal="center" vertical="center" wrapText="1"/>
    </xf>
    <xf numFmtId="0" fontId="14" fillId="0" borderId="10" xfId="0" applyFont="1" applyBorder="1" applyAlignment="1">
      <alignment vertical="center"/>
    </xf>
    <xf numFmtId="166" fontId="14" fillId="0" borderId="10" xfId="20" applyNumberFormat="1" applyFont="1" applyFill="1" applyBorder="1" applyAlignment="1">
      <alignment vertical="center" wrapText="1"/>
    </xf>
    <xf numFmtId="174" fontId="14" fillId="0" borderId="10" xfId="8" applyNumberFormat="1" applyFont="1" applyFill="1" applyBorder="1" applyAlignment="1">
      <alignment horizontal="right" vertical="center" wrapText="1"/>
    </xf>
    <xf numFmtId="166" fontId="14" fillId="0" borderId="10" xfId="8" applyNumberFormat="1" applyFont="1" applyFill="1" applyBorder="1" applyAlignment="1">
      <alignment vertical="center"/>
    </xf>
    <xf numFmtId="3" fontId="18" fillId="0" borderId="10" xfId="0" applyNumberFormat="1" applyFont="1" applyBorder="1" applyAlignment="1">
      <alignment vertical="center"/>
    </xf>
    <xf numFmtId="0" fontId="14" fillId="0" borderId="10" xfId="0" applyFont="1" applyBorder="1" applyAlignment="1">
      <alignment horizontal="center" vertical="center"/>
    </xf>
    <xf numFmtId="3" fontId="14" fillId="0" borderId="10" xfId="0" applyNumberFormat="1" applyFont="1" applyBorder="1" applyAlignment="1">
      <alignment vertical="center"/>
    </xf>
    <xf numFmtId="166" fontId="14" fillId="0" borderId="10" xfId="8" applyNumberFormat="1" applyFont="1" applyFill="1" applyBorder="1" applyAlignment="1">
      <alignment vertical="center" wrapText="1"/>
    </xf>
    <xf numFmtId="3" fontId="14" fillId="0" borderId="10" xfId="6" applyNumberFormat="1" applyFont="1" applyBorder="1" applyAlignment="1">
      <alignment horizontal="center" vertical="center" wrapText="1"/>
    </xf>
    <xf numFmtId="166" fontId="7" fillId="0" borderId="10" xfId="8" applyNumberFormat="1" applyFont="1" applyFill="1" applyBorder="1" applyAlignment="1">
      <alignment horizontal="right" vertical="top" wrapText="1"/>
    </xf>
    <xf numFmtId="1" fontId="14" fillId="0" borderId="10" xfId="6" applyNumberFormat="1" applyFont="1" applyBorder="1" applyAlignment="1">
      <alignment horizontal="center" vertical="center" wrapText="1"/>
    </xf>
    <xf numFmtId="3" fontId="14" fillId="0" borderId="10" xfId="6" quotePrefix="1" applyNumberFormat="1" applyFont="1" applyBorder="1" applyAlignment="1">
      <alignment vertical="center" wrapText="1"/>
    </xf>
    <xf numFmtId="166" fontId="14" fillId="0" borderId="10" xfId="8" applyNumberFormat="1" applyFont="1" applyFill="1" applyBorder="1" applyAlignment="1">
      <alignment horizontal="center" vertical="center" wrapText="1"/>
    </xf>
    <xf numFmtId="3" fontId="14" fillId="0" borderId="10" xfId="0" applyNumberFormat="1" applyFont="1" applyBorder="1" applyAlignment="1">
      <alignment vertical="center" wrapText="1"/>
    </xf>
    <xf numFmtId="0" fontId="18" fillId="0" borderId="10" xfId="0" applyFont="1" applyBorder="1" applyAlignment="1">
      <alignment horizontal="center" vertical="center"/>
    </xf>
    <xf numFmtId="0" fontId="14" fillId="0" borderId="10" xfId="0" applyFont="1" applyBorder="1" applyAlignment="1">
      <alignment vertical="center" wrapText="1"/>
    </xf>
    <xf numFmtId="0" fontId="14" fillId="0" borderId="10" xfId="0" applyFont="1" applyBorder="1"/>
    <xf numFmtId="3" fontId="14" fillId="0" borderId="10" xfId="0" applyNumberFormat="1" applyFont="1" applyBorder="1" applyAlignment="1">
      <alignment horizontal="center" vertical="center"/>
    </xf>
    <xf numFmtId="3" fontId="7" fillId="0" borderId="10" xfId="0" applyNumberFormat="1" applyFont="1" applyBorder="1"/>
    <xf numFmtId="0" fontId="14" fillId="6" borderId="10" xfId="21" applyFont="1" applyFill="1" applyBorder="1" applyAlignment="1">
      <alignment horizontal="justify" vertical="center" wrapText="1"/>
    </xf>
    <xf numFmtId="0" fontId="14" fillId="6" borderId="10" xfId="22" applyFont="1" applyFill="1" applyBorder="1" applyAlignment="1">
      <alignment horizontal="center" vertical="center" wrapText="1"/>
    </xf>
    <xf numFmtId="0" fontId="14" fillId="0" borderId="10" xfId="0" applyFont="1" applyBorder="1" applyAlignment="1">
      <alignment horizontal="left" wrapText="1"/>
    </xf>
    <xf numFmtId="0" fontId="14" fillId="6" borderId="10" xfId="23" applyFont="1" applyFill="1" applyBorder="1" applyAlignment="1">
      <alignment horizontal="justify" vertical="center" wrapText="1"/>
    </xf>
    <xf numFmtId="0" fontId="14" fillId="6" borderId="10" xfId="23" applyFont="1" applyFill="1" applyBorder="1" applyAlignment="1">
      <alignment horizontal="center" vertical="center" wrapText="1"/>
    </xf>
    <xf numFmtId="3" fontId="14" fillId="0" borderId="10" xfId="0" applyNumberFormat="1" applyFont="1" applyBorder="1" applyAlignment="1">
      <alignment horizontal="right" vertical="center"/>
    </xf>
    <xf numFmtId="3" fontId="7" fillId="10" borderId="10" xfId="0" applyNumberFormat="1" applyFont="1" applyFill="1" applyBorder="1" applyAlignment="1">
      <alignment horizontal="right" vertical="top" wrapText="1"/>
    </xf>
    <xf numFmtId="3" fontId="7" fillId="10" borderId="10" xfId="0" applyNumberFormat="1" applyFont="1" applyFill="1" applyBorder="1" applyAlignment="1">
      <alignment horizontal="center" vertical="top" wrapText="1"/>
    </xf>
    <xf numFmtId="0" fontId="18" fillId="0" borderId="0" xfId="0" applyFont="1" applyAlignment="1">
      <alignment horizontal="center" vertical="center"/>
    </xf>
    <xf numFmtId="0" fontId="46" fillId="0" borderId="0" xfId="0" applyFont="1" applyAlignment="1">
      <alignment horizontal="justify" vertical="center"/>
    </xf>
    <xf numFmtId="0" fontId="46" fillId="0" borderId="0" xfId="0" applyFont="1" applyAlignment="1">
      <alignment horizontal="center"/>
    </xf>
    <xf numFmtId="0" fontId="32" fillId="0" borderId="0" xfId="0" applyFont="1" applyAlignment="1">
      <alignment horizontal="center" vertical="center"/>
    </xf>
    <xf numFmtId="0" fontId="0" fillId="0" borderId="0" xfId="0" applyAlignment="1">
      <alignment horizontal="justify" vertical="center"/>
    </xf>
    <xf numFmtId="0" fontId="52" fillId="0" borderId="0" xfId="0" applyFont="1"/>
    <xf numFmtId="0" fontId="55" fillId="0" borderId="10" xfId="0" applyFont="1" applyBorder="1" applyAlignment="1">
      <alignment horizontal="center" vertical="center"/>
    </xf>
    <xf numFmtId="1" fontId="56" fillId="0" borderId="10" xfId="6" applyNumberFormat="1" applyFont="1" applyBorder="1" applyAlignment="1">
      <alignment horizontal="justify" vertical="center" wrapText="1"/>
    </xf>
    <xf numFmtId="172" fontId="56" fillId="0" borderId="10" xfId="0" applyNumberFormat="1" applyFont="1" applyBorder="1" applyAlignment="1">
      <alignment horizontal="center" vertical="center" wrapText="1"/>
    </xf>
    <xf numFmtId="0" fontId="56" fillId="0" borderId="10" xfId="0" applyFont="1" applyBorder="1" applyAlignment="1">
      <alignment horizontal="center" vertical="center" wrapText="1"/>
    </xf>
    <xf numFmtId="1" fontId="56" fillId="0" borderId="10" xfId="0" applyNumberFormat="1" applyFont="1" applyBorder="1" applyAlignment="1">
      <alignment horizontal="center" vertical="center" wrapText="1"/>
    </xf>
    <xf numFmtId="49" fontId="56" fillId="0" borderId="10" xfId="0" applyNumberFormat="1" applyFont="1" applyBorder="1" applyAlignment="1">
      <alignment horizontal="left" vertical="center" wrapText="1"/>
    </xf>
    <xf numFmtId="0" fontId="57" fillId="0" borderId="10" xfId="0" applyFont="1" applyBorder="1" applyAlignment="1">
      <alignment horizontal="center" vertical="top" wrapText="1"/>
    </xf>
    <xf numFmtId="166" fontId="56" fillId="0" borderId="10" xfId="0" applyNumberFormat="1" applyFont="1" applyBorder="1" applyAlignment="1">
      <alignment horizontal="right" vertical="center" wrapText="1"/>
    </xf>
    <xf numFmtId="166" fontId="56" fillId="0" borderId="10" xfId="0" applyNumberFormat="1" applyFont="1" applyBorder="1" applyAlignment="1">
      <alignment horizontal="center" vertical="center" wrapText="1"/>
    </xf>
    <xf numFmtId="0" fontId="57" fillId="0" borderId="10" xfId="0" applyFont="1" applyBorder="1" applyAlignment="1">
      <alignment horizontal="right" vertical="top" wrapText="1"/>
    </xf>
    <xf numFmtId="174" fontId="56" fillId="0" borderId="10" xfId="8" applyNumberFormat="1" applyFont="1" applyFill="1" applyBorder="1" applyAlignment="1">
      <alignment horizontal="right" vertical="top" wrapText="1"/>
    </xf>
    <xf numFmtId="174" fontId="57" fillId="0" borderId="10" xfId="8" applyNumberFormat="1" applyFont="1" applyFill="1" applyBorder="1" applyAlignment="1">
      <alignment horizontal="right" vertical="top" wrapText="1"/>
    </xf>
    <xf numFmtId="49" fontId="56" fillId="0" borderId="10" xfId="0" applyNumberFormat="1" applyFont="1" applyBorder="1" applyAlignment="1">
      <alignment horizontal="left" vertical="top" wrapText="1"/>
    </xf>
    <xf numFmtId="3" fontId="56" fillId="0" borderId="0" xfId="0" applyNumberFormat="1" applyFont="1" applyAlignment="1">
      <alignment horizontal="center" vertical="center" wrapText="1"/>
    </xf>
    <xf numFmtId="0" fontId="56" fillId="0" borderId="0" xfId="0" applyFont="1" applyAlignment="1">
      <alignment horizontal="left" vertical="top" wrapText="1"/>
    </xf>
    <xf numFmtId="0" fontId="58" fillId="0" borderId="0" xfId="0" applyFont="1" applyAlignment="1">
      <alignment vertical="top"/>
    </xf>
    <xf numFmtId="0" fontId="59" fillId="0" borderId="0" xfId="0" applyFont="1"/>
    <xf numFmtId="166" fontId="0" fillId="0" borderId="0" xfId="1" applyNumberFormat="1" applyFont="1"/>
    <xf numFmtId="166" fontId="0" fillId="0" borderId="0" xfId="0" applyNumberFormat="1"/>
    <xf numFmtId="3" fontId="33" fillId="0" borderId="0" xfId="0" applyNumberFormat="1" applyFont="1" applyAlignment="1">
      <alignment horizontal="center" vertical="center" wrapText="1"/>
    </xf>
    <xf numFmtId="3" fontId="33" fillId="0" borderId="0" xfId="0" applyNumberFormat="1" applyFont="1" applyAlignment="1">
      <alignment horizontal="center" vertical="center"/>
    </xf>
    <xf numFmtId="3" fontId="37" fillId="0" borderId="0" xfId="0" applyNumberFormat="1" applyFont="1" applyAlignment="1">
      <alignment horizontal="center" vertical="center"/>
    </xf>
    <xf numFmtId="3" fontId="33" fillId="0" borderId="1" xfId="0" applyNumberFormat="1" applyFont="1" applyBorder="1" applyAlignment="1">
      <alignment horizontal="center" vertical="center"/>
    </xf>
    <xf numFmtId="0" fontId="39" fillId="0" borderId="9"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1" xfId="0" applyFont="1" applyBorder="1" applyAlignment="1">
      <alignment horizontal="center" vertical="center" wrapText="1"/>
    </xf>
    <xf numFmtId="0" fontId="0" fillId="0" borderId="0" xfId="0" applyAlignment="1">
      <alignment horizontal="center" vertical="center"/>
    </xf>
    <xf numFmtId="3" fontId="28" fillId="0" borderId="0" xfId="12" applyNumberFormat="1" applyFont="1" applyAlignment="1">
      <alignment horizontal="right" vertical="center" wrapText="1"/>
    </xf>
    <xf numFmtId="3" fontId="0" fillId="0" borderId="2" xfId="0" applyNumberFormat="1" applyBorder="1"/>
    <xf numFmtId="0" fontId="0" fillId="0" borderId="2" xfId="0" applyBorder="1"/>
    <xf numFmtId="3" fontId="0" fillId="0" borderId="2" xfId="0" applyNumberFormat="1" applyBorder="1" applyAlignment="1">
      <alignment horizontal="center"/>
    </xf>
    <xf numFmtId="0" fontId="26" fillId="0" borderId="0" xfId="12" applyFont="1" applyAlignment="1">
      <alignment horizontal="center" vertical="center" wrapText="1"/>
    </xf>
    <xf numFmtId="0" fontId="28" fillId="0" borderId="3" xfId="12" applyFont="1" applyBorder="1" applyAlignment="1">
      <alignment horizontal="center" vertical="center" wrapText="1"/>
    </xf>
    <xf numFmtId="0" fontId="28" fillId="0" borderId="8" xfId="12" applyFont="1" applyBorder="1" applyAlignment="1">
      <alignment horizontal="center" vertical="center" wrapText="1"/>
    </xf>
    <xf numFmtId="0" fontId="0" fillId="7" borderId="0" xfId="0" applyFill="1"/>
    <xf numFmtId="3" fontId="0" fillId="0" borderId="2" xfId="0" applyNumberFormat="1" applyBorder="1" applyAlignment="1">
      <alignment horizontal="center" vertical="center"/>
    </xf>
    <xf numFmtId="0" fontId="0" fillId="0" borderId="6" xfId="0" applyBorder="1"/>
    <xf numFmtId="166" fontId="0" fillId="0" borderId="6" xfId="1" applyNumberFormat="1" applyFont="1" applyBorder="1" applyAlignment="1">
      <alignment horizontal="center"/>
    </xf>
    <xf numFmtId="166" fontId="0" fillId="0" borderId="2" xfId="1" applyNumberFormat="1" applyFont="1" applyBorder="1" applyAlignment="1">
      <alignment horizontal="center" vertical="center"/>
    </xf>
    <xf numFmtId="0" fontId="0" fillId="0" borderId="2" xfId="0" applyBorder="1" applyAlignment="1">
      <alignment horizontal="center"/>
    </xf>
    <xf numFmtId="3" fontId="28" fillId="0" borderId="3" xfId="12" applyNumberFormat="1" applyFont="1" applyBorder="1" applyAlignment="1">
      <alignment horizontal="center" vertical="center" wrapText="1"/>
    </xf>
    <xf numFmtId="3" fontId="42" fillId="0" borderId="0" xfId="12" applyNumberFormat="1" applyFont="1" applyAlignment="1">
      <alignment horizontal="center" vertical="center" wrapText="1"/>
    </xf>
    <xf numFmtId="3" fontId="43" fillId="8" borderId="0" xfId="12" applyNumberFormat="1" applyFont="1" applyFill="1" applyAlignment="1">
      <alignment horizontal="center" vertical="center" wrapText="1"/>
    </xf>
    <xf numFmtId="3" fontId="28" fillId="8" borderId="0" xfId="12" applyNumberFormat="1" applyFont="1" applyFill="1" applyAlignment="1">
      <alignment horizontal="right" vertical="center" wrapText="1"/>
    </xf>
    <xf numFmtId="0" fontId="64" fillId="0" borderId="0" xfId="0" applyFont="1" applyAlignment="1">
      <alignment horizontal="center" vertical="center"/>
    </xf>
    <xf numFmtId="0" fontId="16" fillId="0" borderId="0" xfId="0" applyFont="1" applyAlignment="1">
      <alignment vertical="center"/>
    </xf>
    <xf numFmtId="0" fontId="66" fillId="0" borderId="10" xfId="0" applyFont="1" applyBorder="1" applyAlignment="1">
      <alignment horizontal="center" vertical="center" wrapText="1"/>
    </xf>
    <xf numFmtId="0" fontId="39" fillId="0" borderId="10" xfId="0" applyFont="1" applyBorder="1" applyAlignment="1">
      <alignment horizontal="center" vertical="center" wrapText="1"/>
    </xf>
    <xf numFmtId="166" fontId="66" fillId="0" borderId="10" xfId="3" applyNumberFormat="1" applyFont="1" applyFill="1" applyBorder="1" applyAlignment="1">
      <alignment horizontal="right" vertical="center" wrapText="1"/>
    </xf>
    <xf numFmtId="0" fontId="39" fillId="7" borderId="10" xfId="0" applyFont="1" applyFill="1" applyBorder="1" applyAlignment="1">
      <alignment horizontal="center" vertical="center" wrapText="1"/>
    </xf>
    <xf numFmtId="0" fontId="39" fillId="7" borderId="10" xfId="0" applyFont="1" applyFill="1" applyBorder="1" applyAlignment="1">
      <alignment horizontal="left" vertical="center" wrapText="1"/>
    </xf>
    <xf numFmtId="166" fontId="66" fillId="7" borderId="10" xfId="3" applyNumberFormat="1" applyFont="1" applyFill="1" applyBorder="1" applyAlignment="1">
      <alignment horizontal="right" vertical="center" wrapText="1"/>
    </xf>
    <xf numFmtId="0" fontId="39" fillId="3" borderId="10" xfId="0" applyFont="1" applyFill="1" applyBorder="1" applyAlignment="1">
      <alignment horizontal="center" vertical="center" wrapText="1"/>
    </xf>
    <xf numFmtId="0" fontId="39" fillId="3" borderId="10" xfId="0" applyFont="1" applyFill="1" applyBorder="1" applyAlignment="1">
      <alignment horizontal="left" vertical="center" wrapText="1"/>
    </xf>
    <xf numFmtId="166" fontId="66" fillId="3" borderId="10" xfId="3" applyNumberFormat="1" applyFont="1" applyFill="1" applyBorder="1" applyAlignment="1">
      <alignment horizontal="right" vertical="center" wrapText="1"/>
    </xf>
    <xf numFmtId="0" fontId="39" fillId="4" borderId="10" xfId="0" applyFont="1" applyFill="1" applyBorder="1" applyAlignment="1">
      <alignment horizontal="center" vertical="center" wrapText="1"/>
    </xf>
    <xf numFmtId="0" fontId="39" fillId="4" borderId="10" xfId="0" applyFont="1" applyFill="1" applyBorder="1" applyAlignment="1">
      <alignment horizontal="left" vertical="center" wrapText="1"/>
    </xf>
    <xf numFmtId="166" fontId="39" fillId="4" borderId="10" xfId="3" applyNumberFormat="1" applyFont="1" applyFill="1" applyBorder="1" applyAlignment="1">
      <alignment horizontal="right" vertical="center" wrapText="1"/>
    </xf>
    <xf numFmtId="0" fontId="20" fillId="0" borderId="10" xfId="0" applyFont="1" applyBorder="1" applyAlignment="1">
      <alignment horizontal="left" vertical="center" wrapText="1"/>
    </xf>
    <xf numFmtId="0" fontId="20" fillId="5" borderId="10" xfId="0" applyFont="1" applyFill="1" applyBorder="1" applyAlignment="1">
      <alignment horizontal="center" vertical="center"/>
    </xf>
    <xf numFmtId="166" fontId="20" fillId="0" borderId="10" xfId="3" applyNumberFormat="1" applyFont="1" applyFill="1" applyBorder="1" applyAlignment="1">
      <alignment horizontal="center" vertical="center" wrapText="1"/>
    </xf>
    <xf numFmtId="0" fontId="20" fillId="6" borderId="10" xfId="0" applyFont="1" applyFill="1" applyBorder="1" applyAlignment="1">
      <alignment horizontal="left" vertical="center" wrapText="1"/>
    </xf>
    <xf numFmtId="166" fontId="39" fillId="0" borderId="10" xfId="3" applyNumberFormat="1" applyFont="1" applyFill="1" applyBorder="1" applyAlignment="1">
      <alignment horizontal="right" vertical="center" wrapText="1"/>
    </xf>
    <xf numFmtId="166" fontId="39" fillId="7" borderId="10" xfId="3" applyNumberFormat="1" applyFont="1" applyFill="1" applyBorder="1" applyAlignment="1">
      <alignment horizontal="right" vertical="center" wrapText="1"/>
    </xf>
    <xf numFmtId="166" fontId="39" fillId="3" borderId="10" xfId="3" applyNumberFormat="1" applyFont="1" applyFill="1" applyBorder="1" applyAlignment="1">
      <alignment horizontal="right" vertical="center" wrapText="1"/>
    </xf>
    <xf numFmtId="166" fontId="20" fillId="0" borderId="10" xfId="5" applyNumberFormat="1" applyFont="1" applyFill="1" applyBorder="1" applyAlignment="1">
      <alignment horizontal="right" vertical="center" wrapText="1"/>
    </xf>
    <xf numFmtId="165" fontId="20" fillId="0" borderId="10" xfId="3" applyNumberFormat="1" applyFont="1" applyFill="1" applyBorder="1" applyAlignment="1">
      <alignment horizontal="right" vertical="center" wrapText="1"/>
    </xf>
    <xf numFmtId="165" fontId="60" fillId="0" borderId="10" xfId="3" applyNumberFormat="1" applyFont="1" applyFill="1" applyBorder="1" applyAlignment="1">
      <alignment horizontal="right" vertical="center" wrapText="1"/>
    </xf>
    <xf numFmtId="165" fontId="20" fillId="0" borderId="10" xfId="4" applyNumberFormat="1" applyFont="1" applyFill="1" applyBorder="1" applyAlignment="1">
      <alignment horizontal="right" vertical="center" wrapText="1"/>
    </xf>
    <xf numFmtId="166" fontId="60" fillId="0" borderId="10" xfId="3" applyNumberFormat="1" applyFont="1" applyFill="1" applyBorder="1" applyAlignment="1">
      <alignment horizontal="right" vertical="center" wrapText="1"/>
    </xf>
    <xf numFmtId="166" fontId="20" fillId="0" borderId="10" xfId="3" applyNumberFormat="1" applyFont="1" applyFill="1" applyBorder="1" applyAlignment="1">
      <alignment horizontal="right" vertical="center" wrapText="1"/>
    </xf>
    <xf numFmtId="166" fontId="20" fillId="0" borderId="10" xfId="3" applyNumberFormat="1" applyFont="1" applyFill="1" applyBorder="1" applyAlignment="1">
      <alignment vertical="center" wrapText="1"/>
    </xf>
    <xf numFmtId="166" fontId="20" fillId="0" borderId="10" xfId="3" quotePrefix="1" applyNumberFormat="1" applyFont="1" applyFill="1" applyBorder="1" applyAlignment="1">
      <alignment vertical="center" wrapText="1"/>
    </xf>
    <xf numFmtId="49" fontId="20" fillId="0" borderId="10" xfId="3" applyNumberFormat="1" applyFont="1" applyFill="1" applyBorder="1" applyAlignment="1">
      <alignment vertical="center" wrapText="1"/>
    </xf>
    <xf numFmtId="166" fontId="20" fillId="0" borderId="10" xfId="3" quotePrefix="1" applyNumberFormat="1" applyFont="1" applyFill="1" applyBorder="1" applyAlignment="1">
      <alignment horizontal="left" vertical="center" wrapText="1"/>
    </xf>
    <xf numFmtId="165" fontId="20" fillId="5" borderId="10" xfId="3" applyNumberFormat="1" applyFont="1" applyFill="1" applyBorder="1" applyAlignment="1">
      <alignment horizontal="right" vertical="center" wrapText="1"/>
    </xf>
    <xf numFmtId="0" fontId="20" fillId="6" borderId="10" xfId="0" applyFont="1" applyFill="1" applyBorder="1" applyAlignment="1">
      <alignment horizontal="center" vertical="center" wrapText="1"/>
    </xf>
    <xf numFmtId="166" fontId="20" fillId="6" borderId="10" xfId="7" applyNumberFormat="1" applyFont="1" applyFill="1" applyBorder="1" applyAlignment="1">
      <alignment horizontal="center" vertical="center" wrapText="1"/>
    </xf>
    <xf numFmtId="165" fontId="20" fillId="6" borderId="10" xfId="7" applyNumberFormat="1" applyFont="1" applyFill="1" applyBorder="1" applyAlignment="1">
      <alignment horizontal="right" vertical="center" wrapText="1"/>
    </xf>
    <xf numFmtId="166" fontId="20" fillId="6" borderId="10" xfId="7" applyNumberFormat="1" applyFont="1" applyFill="1" applyBorder="1" applyAlignment="1">
      <alignment horizontal="right" vertical="center" wrapText="1"/>
    </xf>
    <xf numFmtId="165" fontId="20" fillId="6" borderId="10" xfId="8" applyNumberFormat="1" applyFont="1" applyFill="1" applyBorder="1" applyAlignment="1">
      <alignment horizontal="right" vertical="center" wrapText="1"/>
    </xf>
    <xf numFmtId="166" fontId="20" fillId="6" borderId="10" xfId="5" applyNumberFormat="1" applyFont="1" applyFill="1" applyBorder="1" applyAlignment="1">
      <alignment horizontal="right" vertical="center" wrapText="1"/>
    </xf>
    <xf numFmtId="166" fontId="20" fillId="5" borderId="10" xfId="3" applyNumberFormat="1" applyFont="1" applyFill="1" applyBorder="1" applyAlignment="1">
      <alignment horizontal="center" vertical="center" wrapText="1"/>
    </xf>
    <xf numFmtId="166" fontId="20" fillId="0" borderId="10" xfId="3" applyNumberFormat="1" applyFont="1" applyFill="1" applyBorder="1" applyAlignment="1">
      <alignment horizontal="left" vertical="center" wrapText="1"/>
    </xf>
    <xf numFmtId="165" fontId="20" fillId="0" borderId="10" xfId="3" applyNumberFormat="1" applyFont="1" applyFill="1" applyBorder="1" applyAlignment="1">
      <alignment horizontal="center" vertical="center" wrapText="1"/>
    </xf>
    <xf numFmtId="0" fontId="39" fillId="7" borderId="11" xfId="0" applyFont="1" applyFill="1" applyBorder="1" applyAlignment="1">
      <alignment horizontal="center" vertical="center" wrapText="1"/>
    </xf>
    <xf numFmtId="0" fontId="39" fillId="7" borderId="11" xfId="0" applyFont="1" applyFill="1" applyBorder="1" applyAlignment="1">
      <alignment horizontal="left" vertical="center" wrapText="1"/>
    </xf>
    <xf numFmtId="166" fontId="66" fillId="7" borderId="11" xfId="3" applyNumberFormat="1" applyFont="1" applyFill="1" applyBorder="1" applyAlignment="1">
      <alignment horizontal="right" vertical="center" wrapText="1"/>
    </xf>
    <xf numFmtId="166" fontId="20" fillId="0" borderId="10" xfId="1" applyNumberFormat="1" applyFont="1" applyBorder="1" applyAlignment="1">
      <alignment vertical="center"/>
    </xf>
    <xf numFmtId="166" fontId="39" fillId="7" borderId="11" xfId="3" applyNumberFormat="1" applyFont="1" applyFill="1" applyBorder="1" applyAlignment="1">
      <alignment horizontal="right" vertical="center" wrapText="1"/>
    </xf>
    <xf numFmtId="166" fontId="39" fillId="7" borderId="11" xfId="3" applyNumberFormat="1" applyFont="1" applyFill="1" applyBorder="1" applyAlignment="1">
      <alignment horizontal="center" vertical="center" wrapText="1"/>
    </xf>
    <xf numFmtId="166" fontId="9" fillId="0" borderId="0" xfId="25" applyNumberFormat="1" applyFont="1" applyFill="1" applyBorder="1" applyAlignment="1">
      <alignment horizontal="left" vertical="center"/>
    </xf>
    <xf numFmtId="0" fontId="20" fillId="0" borderId="0" xfId="13" applyFont="1"/>
    <xf numFmtId="0" fontId="62" fillId="0" borderId="0" xfId="13" applyFont="1"/>
    <xf numFmtId="0" fontId="68" fillId="0" borderId="0" xfId="13" applyFont="1"/>
    <xf numFmtId="3" fontId="38" fillId="0" borderId="1" xfId="13" applyNumberFormat="1" applyFont="1" applyBorder="1" applyAlignment="1">
      <alignment vertical="center"/>
    </xf>
    <xf numFmtId="0" fontId="68" fillId="0" borderId="0" xfId="13" applyFont="1" applyAlignment="1">
      <alignment vertical="center"/>
    </xf>
    <xf numFmtId="0" fontId="8" fillId="0" borderId="0" xfId="13" applyFont="1" applyAlignment="1">
      <alignment vertical="center" wrapText="1"/>
    </xf>
    <xf numFmtId="0" fontId="8" fillId="0" borderId="0" xfId="13" applyFont="1" applyAlignment="1">
      <alignment horizontal="center" vertical="center" wrapText="1"/>
    </xf>
    <xf numFmtId="3" fontId="8" fillId="0" borderId="2" xfId="13" applyNumberFormat="1" applyFont="1" applyBorder="1" applyAlignment="1">
      <alignment horizontal="center" vertical="center" wrapText="1"/>
    </xf>
    <xf numFmtId="3" fontId="8" fillId="0" borderId="2" xfId="13" applyNumberFormat="1" applyFont="1" applyBorder="1" applyAlignment="1">
      <alignment horizontal="left" vertical="center" wrapText="1"/>
    </xf>
    <xf numFmtId="3" fontId="8" fillId="0" borderId="2" xfId="13" quotePrefix="1" applyNumberFormat="1" applyFont="1" applyBorder="1" applyAlignment="1">
      <alignment horizontal="center" vertical="center" wrapText="1"/>
    </xf>
    <xf numFmtId="3" fontId="16" fillId="0" borderId="2" xfId="13" quotePrefix="1" applyNumberFormat="1" applyFont="1" applyBorder="1" applyAlignment="1">
      <alignment horizontal="center" vertical="center" wrapText="1"/>
    </xf>
    <xf numFmtId="0" fontId="8" fillId="0" borderId="0" xfId="13" applyFont="1"/>
    <xf numFmtId="3" fontId="16" fillId="0" borderId="2" xfId="13" applyNumberFormat="1" applyFont="1" applyBorder="1" applyAlignment="1">
      <alignment horizontal="left" vertical="center" wrapText="1"/>
    </xf>
    <xf numFmtId="3" fontId="16" fillId="0" borderId="2" xfId="13" applyNumberFormat="1" applyFont="1" applyBorder="1" applyAlignment="1">
      <alignment horizontal="center" vertical="center" wrapText="1"/>
    </xf>
    <xf numFmtId="0" fontId="16" fillId="0" borderId="0" xfId="13" applyFont="1"/>
    <xf numFmtId="3" fontId="16" fillId="0" borderId="2" xfId="26" applyNumberFormat="1" applyFont="1" applyBorder="1" applyAlignment="1">
      <alignment horizontal="center" vertical="center"/>
    </xf>
    <xf numFmtId="3" fontId="16" fillId="0" borderId="2" xfId="13" applyNumberFormat="1" applyFont="1" applyBorder="1" applyAlignment="1">
      <alignment horizontal="center" vertical="center"/>
    </xf>
    <xf numFmtId="0" fontId="16" fillId="0" borderId="0" xfId="13" applyFont="1" applyAlignment="1">
      <alignment horizontal="center" vertical="center"/>
    </xf>
    <xf numFmtId="3" fontId="8" fillId="0" borderId="2" xfId="26" applyNumberFormat="1" applyFont="1" applyBorder="1" applyAlignment="1">
      <alignment horizontal="center" vertical="center"/>
    </xf>
    <xf numFmtId="166" fontId="8" fillId="0" borderId="0" xfId="25" applyNumberFormat="1" applyFont="1" applyFill="1" applyAlignment="1">
      <alignment horizontal="left" vertical="center" wrapText="1"/>
    </xf>
    <xf numFmtId="166" fontId="8" fillId="0" borderId="0" xfId="25" applyNumberFormat="1" applyFont="1" applyFill="1" applyAlignment="1">
      <alignment horizontal="center" vertical="center" wrapText="1"/>
    </xf>
    <xf numFmtId="43" fontId="16" fillId="0" borderId="0" xfId="25" applyFont="1" applyFill="1" applyAlignment="1">
      <alignment horizontal="right" vertical="center" wrapText="1"/>
    </xf>
    <xf numFmtId="166" fontId="16" fillId="0" borderId="0" xfId="25" quotePrefix="1" applyNumberFormat="1" applyFont="1" applyFill="1" applyAlignment="1">
      <alignment horizontal="left" vertical="center"/>
    </xf>
    <xf numFmtId="1" fontId="62" fillId="0" borderId="0" xfId="6" applyNumberFormat="1" applyFont="1" applyAlignment="1">
      <alignment horizontal="right" vertical="center"/>
    </xf>
    <xf numFmtId="1" fontId="20" fillId="0" borderId="10" xfId="6" applyNumberFormat="1" applyFont="1" applyBorder="1" applyAlignment="1">
      <alignment horizontal="center" vertical="center" wrapText="1"/>
    </xf>
    <xf numFmtId="0" fontId="20" fillId="6" borderId="10" xfId="0" quotePrefix="1" applyFont="1" applyFill="1" applyBorder="1" applyAlignment="1">
      <alignment horizontal="center" vertical="center" wrapText="1"/>
    </xf>
    <xf numFmtId="0" fontId="20" fillId="0" borderId="10" xfId="9" applyFont="1" applyBorder="1" applyAlignment="1">
      <alignment horizontal="center" vertical="center" wrapText="1"/>
    </xf>
    <xf numFmtId="172" fontId="20" fillId="0" borderId="10" xfId="0" applyNumberFormat="1" applyFont="1" applyBorder="1" applyAlignment="1">
      <alignment horizontal="center" vertical="center" wrapText="1"/>
    </xf>
    <xf numFmtId="1" fontId="65" fillId="0" borderId="0" xfId="6" applyNumberFormat="1" applyFont="1" applyAlignment="1">
      <alignment vertical="center"/>
    </xf>
    <xf numFmtId="1" fontId="26" fillId="0" borderId="0" xfId="6" applyNumberFormat="1" applyFont="1" applyAlignment="1">
      <alignment vertical="center"/>
    </xf>
    <xf numFmtId="1" fontId="38" fillId="0" borderId="0" xfId="6" applyNumberFormat="1" applyFont="1" applyAlignment="1">
      <alignment vertical="center"/>
    </xf>
    <xf numFmtId="1" fontId="62" fillId="0" borderId="0" xfId="6" applyNumberFormat="1" applyFont="1" applyAlignment="1">
      <alignment vertical="center" wrapText="1"/>
    </xf>
    <xf numFmtId="1" fontId="62" fillId="0" borderId="0" xfId="6" applyNumberFormat="1" applyFont="1" applyAlignment="1">
      <alignment vertical="center"/>
    </xf>
    <xf numFmtId="1" fontId="62" fillId="0" borderId="0" xfId="6" applyNumberFormat="1" applyFont="1" applyAlignment="1">
      <alignment horizontal="center" vertical="center"/>
    </xf>
    <xf numFmtId="3" fontId="62" fillId="0" borderId="0" xfId="6" applyNumberFormat="1" applyFont="1" applyAlignment="1">
      <alignment horizontal="center" vertical="center" wrapText="1"/>
    </xf>
    <xf numFmtId="3" fontId="62" fillId="0" borderId="0" xfId="6" applyNumberFormat="1" applyFont="1" applyAlignment="1">
      <alignment vertical="center" wrapText="1"/>
    </xf>
    <xf numFmtId="3" fontId="20" fillId="0" borderId="10" xfId="6" quotePrefix="1" applyNumberFormat="1" applyFont="1" applyBorder="1" applyAlignment="1">
      <alignment horizontal="center" vertical="center" wrapText="1"/>
    </xf>
    <xf numFmtId="166" fontId="39" fillId="8" borderId="10" xfId="5" applyNumberFormat="1" applyFont="1" applyFill="1" applyBorder="1" applyAlignment="1">
      <alignment horizontal="center" vertical="center" wrapText="1"/>
    </xf>
    <xf numFmtId="1" fontId="20" fillId="0" borderId="10" xfId="6" applyNumberFormat="1" applyFont="1" applyBorder="1" applyAlignment="1">
      <alignment vertical="center" wrapText="1"/>
    </xf>
    <xf numFmtId="1" fontId="62" fillId="0" borderId="10" xfId="6" applyNumberFormat="1" applyFont="1" applyBorder="1" applyAlignment="1">
      <alignment vertical="center" wrapText="1"/>
    </xf>
    <xf numFmtId="0" fontId="16" fillId="0" borderId="10" xfId="0" applyFont="1" applyBorder="1" applyAlignment="1">
      <alignment horizontal="left" vertical="center" wrapText="1"/>
    </xf>
    <xf numFmtId="0" fontId="16" fillId="0" borderId="10" xfId="0" applyFont="1" applyBorder="1" applyAlignment="1">
      <alignment vertical="center" wrapText="1"/>
    </xf>
    <xf numFmtId="3" fontId="16" fillId="0" borderId="10" xfId="0" applyNumberFormat="1" applyFont="1" applyBorder="1" applyAlignment="1">
      <alignment vertical="center" wrapText="1"/>
    </xf>
    <xf numFmtId="0" fontId="16" fillId="0" borderId="10" xfId="0" applyFont="1" applyBorder="1" applyAlignment="1">
      <alignment vertical="center"/>
    </xf>
    <xf numFmtId="0" fontId="16" fillId="0" borderId="10" xfId="0" applyFont="1" applyBorder="1" applyAlignment="1">
      <alignment horizontal="center" vertical="center"/>
    </xf>
    <xf numFmtId="3" fontId="26" fillId="0" borderId="0" xfId="6" applyNumberFormat="1" applyFont="1" applyAlignment="1">
      <alignment vertical="center" wrapText="1"/>
    </xf>
    <xf numFmtId="1" fontId="26" fillId="0" borderId="10" xfId="6" applyNumberFormat="1" applyFont="1" applyBorder="1" applyAlignment="1">
      <alignment vertical="center"/>
    </xf>
    <xf numFmtId="1" fontId="62" fillId="0" borderId="10" xfId="6" applyNumberFormat="1" applyFont="1" applyBorder="1" applyAlignment="1">
      <alignment horizontal="center" vertical="center" wrapText="1"/>
    </xf>
    <xf numFmtId="1" fontId="62" fillId="0" borderId="10" xfId="6" applyNumberFormat="1" applyFont="1" applyBorder="1" applyAlignment="1">
      <alignment horizontal="right" vertical="center"/>
    </xf>
    <xf numFmtId="1" fontId="62" fillId="0" borderId="11" xfId="6" applyNumberFormat="1" applyFont="1" applyBorder="1" applyAlignment="1">
      <alignment horizontal="center" vertical="center" wrapText="1"/>
    </xf>
    <xf numFmtId="1" fontId="62" fillId="0" borderId="0" xfId="6" applyNumberFormat="1" applyFont="1" applyAlignment="1">
      <alignment horizontal="center" vertical="center" wrapText="1"/>
    </xf>
    <xf numFmtId="0" fontId="16" fillId="0" borderId="10" xfId="0" applyFont="1" applyBorder="1" applyAlignment="1">
      <alignment horizontal="justify" vertical="center" wrapText="1"/>
    </xf>
    <xf numFmtId="3" fontId="16" fillId="0" borderId="10" xfId="0" applyNumberFormat="1" applyFont="1" applyBorder="1" applyAlignment="1">
      <alignment horizontal="center" vertical="center" wrapText="1"/>
    </xf>
    <xf numFmtId="41" fontId="16" fillId="0" borderId="10" xfId="0" applyNumberFormat="1" applyFont="1" applyBorder="1" applyAlignment="1">
      <alignment vertical="center" wrapText="1"/>
    </xf>
    <xf numFmtId="0" fontId="8" fillId="12" borderId="10" xfId="0" applyFont="1" applyFill="1" applyBorder="1" applyAlignment="1">
      <alignment horizontal="center" vertical="center" wrapText="1"/>
    </xf>
    <xf numFmtId="3" fontId="62" fillId="0" borderId="2" xfId="6" quotePrefix="1" applyNumberFormat="1" applyFont="1" applyBorder="1" applyAlignment="1">
      <alignment horizontal="center" vertical="center" wrapText="1"/>
    </xf>
    <xf numFmtId="3" fontId="8" fillId="0" borderId="2" xfId="26" applyNumberFormat="1" applyFont="1" applyBorder="1" applyAlignment="1">
      <alignment vertical="center"/>
    </xf>
    <xf numFmtId="3" fontId="8" fillId="0" borderId="2" xfId="13" applyNumberFormat="1" applyFont="1" applyBorder="1" applyAlignment="1">
      <alignment vertical="center"/>
    </xf>
    <xf numFmtId="0" fontId="8" fillId="0" borderId="0" xfId="13" applyFont="1" applyAlignment="1">
      <alignment vertical="center"/>
    </xf>
    <xf numFmtId="0" fontId="7" fillId="12" borderId="12" xfId="0" applyFont="1" applyFill="1" applyBorder="1" applyAlignment="1">
      <alignment horizontal="center" vertical="center" wrapText="1"/>
    </xf>
    <xf numFmtId="0" fontId="14" fillId="12" borderId="12" xfId="0" applyFont="1" applyFill="1" applyBorder="1" applyAlignment="1">
      <alignment horizontal="center" vertical="center" wrapText="1"/>
    </xf>
    <xf numFmtId="166" fontId="7" fillId="12" borderId="12" xfId="0" applyNumberFormat="1" applyFont="1" applyFill="1" applyBorder="1" applyAlignment="1">
      <alignment horizontal="right" vertical="center" wrapText="1"/>
    </xf>
    <xf numFmtId="4" fontId="0" fillId="0" borderId="0" xfId="0" applyNumberFormat="1"/>
    <xf numFmtId="0" fontId="33" fillId="0" borderId="1" xfId="0" applyFont="1" applyBorder="1" applyAlignment="1">
      <alignment horizontal="center" vertical="center"/>
    </xf>
    <xf numFmtId="167" fontId="8" fillId="0" borderId="0" xfId="0" applyNumberFormat="1" applyFont="1" applyAlignment="1">
      <alignment horizontal="center" vertical="center" wrapText="1"/>
    </xf>
    <xf numFmtId="166" fontId="0" fillId="0" borderId="0" xfId="1" applyNumberFormat="1" applyFont="1" applyAlignment="1">
      <alignment vertical="center"/>
    </xf>
    <xf numFmtId="0" fontId="16" fillId="0" borderId="7" xfId="0" applyFont="1" applyBorder="1" applyAlignment="1">
      <alignment horizontal="center" vertical="center" wrapText="1"/>
    </xf>
    <xf numFmtId="0" fontId="16" fillId="0" borderId="0" xfId="0" applyFont="1" applyAlignment="1">
      <alignment horizontal="center" vertical="center" wrapText="1"/>
    </xf>
    <xf numFmtId="0" fontId="8" fillId="12" borderId="10" xfId="0" applyFont="1" applyFill="1" applyBorder="1" applyAlignment="1">
      <alignment horizontal="justify" vertical="center"/>
    </xf>
    <xf numFmtId="166" fontId="8" fillId="12" borderId="10" xfId="8" applyNumberFormat="1" applyFont="1" applyFill="1" applyBorder="1" applyAlignment="1">
      <alignment horizontal="right" vertical="center" wrapText="1"/>
    </xf>
    <xf numFmtId="3" fontId="8" fillId="0" borderId="0" xfId="0" applyNumberFormat="1" applyFont="1" applyAlignment="1">
      <alignment horizontal="center" vertical="center" wrapText="1"/>
    </xf>
    <xf numFmtId="166" fontId="74" fillId="0" borderId="0" xfId="0" applyNumberFormat="1" applyFont="1"/>
    <xf numFmtId="0" fontId="74" fillId="0" borderId="0" xfId="0" applyFont="1"/>
    <xf numFmtId="0" fontId="8" fillId="9" borderId="10" xfId="0" applyFont="1" applyFill="1" applyBorder="1" applyAlignment="1">
      <alignment horizontal="justify" vertical="center" wrapText="1"/>
    </xf>
    <xf numFmtId="3" fontId="8" fillId="9" borderId="10" xfId="17" applyNumberFormat="1" applyFont="1" applyFill="1" applyBorder="1" applyAlignment="1">
      <alignment horizontal="right" vertical="center" wrapText="1"/>
    </xf>
    <xf numFmtId="0" fontId="8" fillId="10" borderId="10" xfId="0" applyFont="1" applyFill="1" applyBorder="1" applyAlignment="1">
      <alignment horizontal="center" vertical="center" wrapText="1"/>
    </xf>
    <xf numFmtId="0" fontId="8" fillId="10" borderId="10" xfId="0" applyFont="1" applyFill="1" applyBorder="1" applyAlignment="1">
      <alignment horizontal="justify" vertical="center" wrapText="1"/>
    </xf>
    <xf numFmtId="0" fontId="16" fillId="10" borderId="10" xfId="0" applyFont="1" applyFill="1" applyBorder="1" applyAlignment="1">
      <alignment horizontal="center" vertical="center" wrapText="1"/>
    </xf>
    <xf numFmtId="3" fontId="8" fillId="10" borderId="10" xfId="17" applyNumberFormat="1" applyFont="1" applyFill="1" applyBorder="1" applyAlignment="1">
      <alignment horizontal="right" vertical="center" wrapText="1"/>
    </xf>
    <xf numFmtId="3" fontId="8" fillId="10" borderId="0" xfId="17" applyNumberFormat="1" applyFont="1" applyFill="1" applyBorder="1" applyAlignment="1">
      <alignment horizontal="center" vertical="top" wrapText="1"/>
    </xf>
    <xf numFmtId="166" fontId="16" fillId="0" borderId="10" xfId="7" applyNumberFormat="1" applyFont="1" applyFill="1" applyBorder="1" applyAlignment="1">
      <alignment horizontal="right" vertical="center" wrapText="1"/>
    </xf>
    <xf numFmtId="166" fontId="16" fillId="0" borderId="10" xfId="0" applyNumberFormat="1" applyFont="1" applyBorder="1" applyAlignment="1">
      <alignment horizontal="right" vertical="center" wrapText="1"/>
    </xf>
    <xf numFmtId="166" fontId="0" fillId="0" borderId="0" xfId="0" applyNumberFormat="1" applyAlignment="1">
      <alignment vertical="top"/>
    </xf>
    <xf numFmtId="165" fontId="16" fillId="0" borderId="10" xfId="8" applyNumberFormat="1" applyFont="1" applyFill="1" applyBorder="1" applyAlignment="1">
      <alignment horizontal="center" vertical="center" wrapText="1"/>
    </xf>
    <xf numFmtId="165" fontId="16" fillId="2" borderId="10" xfId="8" applyNumberFormat="1" applyFont="1" applyFill="1" applyBorder="1" applyAlignment="1">
      <alignment horizontal="center" vertical="center" wrapText="1"/>
    </xf>
    <xf numFmtId="165" fontId="16" fillId="0" borderId="10" xfId="0" applyNumberFormat="1" applyFont="1" applyBorder="1" applyAlignment="1">
      <alignment vertical="center" wrapText="1"/>
    </xf>
    <xf numFmtId="0" fontId="75" fillId="0" borderId="0" xfId="0" applyFont="1"/>
    <xf numFmtId="0" fontId="75" fillId="0" borderId="0" xfId="0" applyFont="1" applyAlignment="1">
      <alignment vertical="top"/>
    </xf>
    <xf numFmtId="165" fontId="16" fillId="0" borderId="10" xfId="8" applyNumberFormat="1" applyFont="1" applyFill="1" applyBorder="1" applyAlignment="1">
      <alignment vertical="center" wrapText="1"/>
    </xf>
    <xf numFmtId="166" fontId="16" fillId="0" borderId="10" xfId="7" applyNumberFormat="1" applyFont="1" applyFill="1" applyBorder="1" applyAlignment="1">
      <alignment horizontal="center" vertical="center" wrapText="1"/>
    </xf>
    <xf numFmtId="0" fontId="16" fillId="0" borderId="11" xfId="0" applyFont="1" applyBorder="1" applyAlignment="1">
      <alignment horizontal="center" vertical="center"/>
    </xf>
    <xf numFmtId="0" fontId="16" fillId="0" borderId="11" xfId="13" applyFont="1" applyBorder="1" applyAlignment="1">
      <alignment vertical="center" wrapText="1"/>
    </xf>
    <xf numFmtId="0" fontId="16" fillId="0" borderId="11" xfId="0" applyFont="1" applyBorder="1" applyAlignment="1">
      <alignment vertical="center" wrapText="1"/>
    </xf>
    <xf numFmtId="2" fontId="16" fillId="6" borderId="11" xfId="0" applyNumberFormat="1" applyFont="1" applyFill="1" applyBorder="1" applyAlignment="1">
      <alignment horizontal="center" vertical="center"/>
    </xf>
    <xf numFmtId="0" fontId="16" fillId="0" borderId="11" xfId="0" applyFont="1" applyBorder="1" applyAlignment="1">
      <alignment horizontal="justify" vertical="center" wrapText="1"/>
    </xf>
    <xf numFmtId="166" fontId="16" fillId="0" borderId="11" xfId="8" applyNumberFormat="1" applyFont="1" applyFill="1" applyBorder="1" applyAlignment="1">
      <alignment vertical="center" wrapText="1"/>
    </xf>
    <xf numFmtId="0" fontId="16" fillId="0" borderId="11" xfId="0" applyFont="1" applyBorder="1" applyAlignment="1">
      <alignment vertical="center"/>
    </xf>
    <xf numFmtId="165" fontId="16" fillId="0" borderId="11" xfId="8" applyNumberFormat="1" applyFont="1" applyFill="1" applyBorder="1" applyAlignment="1">
      <alignment horizontal="center" vertical="center" wrapText="1"/>
    </xf>
    <xf numFmtId="166" fontId="16" fillId="0" borderId="0" xfId="0" applyNumberFormat="1" applyFont="1" applyAlignment="1">
      <alignment horizontal="center" vertical="center" wrapText="1"/>
    </xf>
    <xf numFmtId="0" fontId="39" fillId="0" borderId="2" xfId="0" applyFont="1" applyBorder="1" applyAlignment="1">
      <alignment horizontal="center" vertical="center" wrapText="1"/>
    </xf>
    <xf numFmtId="0" fontId="8" fillId="0" borderId="12" xfId="0" applyFont="1" applyBorder="1" applyAlignment="1">
      <alignment horizontal="center" vertical="center" wrapText="1"/>
    </xf>
    <xf numFmtId="166" fontId="8" fillId="0" borderId="12" xfId="16" applyNumberFormat="1" applyFont="1" applyFill="1" applyBorder="1" applyAlignment="1">
      <alignment horizontal="center" vertical="center" wrapText="1"/>
    </xf>
    <xf numFmtId="167" fontId="8" fillId="0" borderId="12" xfId="0" applyNumberFormat="1" applyFont="1" applyBorder="1" applyAlignment="1">
      <alignment horizontal="right" vertical="center" wrapText="1"/>
    </xf>
    <xf numFmtId="166" fontId="16" fillId="0" borderId="10" xfId="16" applyNumberFormat="1" applyFont="1" applyFill="1" applyBorder="1" applyAlignment="1">
      <alignment horizontal="center" vertical="center" wrapText="1"/>
    </xf>
    <xf numFmtId="3" fontId="16" fillId="0" borderId="11" xfId="0" applyNumberFormat="1" applyFont="1" applyBorder="1" applyAlignment="1">
      <alignment horizontal="center" vertical="center" wrapText="1"/>
    </xf>
    <xf numFmtId="3" fontId="16" fillId="0" borderId="11" xfId="0" applyNumberFormat="1" applyFont="1" applyBorder="1" applyAlignment="1">
      <alignment vertical="center" wrapText="1"/>
    </xf>
    <xf numFmtId="166" fontId="16" fillId="0" borderId="11" xfId="16" applyNumberFormat="1" applyFont="1" applyFill="1" applyBorder="1" applyAlignment="1">
      <alignment horizontal="center" vertical="center" wrapText="1"/>
    </xf>
    <xf numFmtId="0" fontId="26" fillId="0" borderId="0" xfId="0" applyFont="1" applyAlignment="1">
      <alignment vertical="center"/>
    </xf>
    <xf numFmtId="167" fontId="39" fillId="0" borderId="2" xfId="0" applyNumberFormat="1" applyFont="1" applyBorder="1" applyAlignment="1">
      <alignment horizontal="center" vertical="center" wrapText="1"/>
    </xf>
    <xf numFmtId="0" fontId="39" fillId="0" borderId="9" xfId="12" applyFont="1" applyBorder="1" applyAlignment="1">
      <alignment horizontal="center" vertical="center" wrapText="1"/>
    </xf>
    <xf numFmtId="0" fontId="39" fillId="0" borderId="10" xfId="12" applyFont="1" applyBorder="1" applyAlignment="1">
      <alignment horizontal="center" vertical="center" wrapText="1"/>
    </xf>
    <xf numFmtId="3" fontId="39" fillId="0" borderId="10" xfId="12" applyNumberFormat="1" applyFont="1" applyBorder="1" applyAlignment="1">
      <alignment horizontal="right" vertical="center" wrapText="1"/>
    </xf>
    <xf numFmtId="0" fontId="39" fillId="8" borderId="10" xfId="12" applyFont="1" applyFill="1" applyBorder="1" applyAlignment="1">
      <alignment horizontal="center" vertical="center" wrapText="1"/>
    </xf>
    <xf numFmtId="3" fontId="39" fillId="8" borderId="10" xfId="12" applyNumberFormat="1" applyFont="1" applyFill="1" applyBorder="1" applyAlignment="1">
      <alignment horizontal="right" vertical="center" wrapText="1"/>
    </xf>
    <xf numFmtId="0" fontId="20" fillId="0" borderId="10" xfId="12" applyFont="1" applyBorder="1" applyAlignment="1">
      <alignment horizontal="center" vertical="center" wrapText="1"/>
    </xf>
    <xf numFmtId="0" fontId="20" fillId="0" borderId="10" xfId="12" applyFont="1" applyBorder="1" applyAlignment="1">
      <alignment horizontal="left" vertical="center" wrapText="1"/>
    </xf>
    <xf numFmtId="3" fontId="20" fillId="0" borderId="10" xfId="12" applyNumberFormat="1" applyFont="1" applyBorder="1" applyAlignment="1">
      <alignment horizontal="right" vertical="center" wrapText="1"/>
    </xf>
    <xf numFmtId="3" fontId="20" fillId="0" borderId="10" xfId="12" applyNumberFormat="1" applyFont="1" applyBorder="1" applyAlignment="1">
      <alignment horizontal="center" vertical="center" wrapText="1"/>
    </xf>
    <xf numFmtId="0" fontId="39" fillId="8" borderId="10" xfId="12" applyFont="1" applyFill="1" applyBorder="1" applyAlignment="1">
      <alignment horizontal="left" vertical="center" wrapText="1"/>
    </xf>
    <xf numFmtId="3" fontId="39" fillId="8" borderId="10" xfId="12" applyNumberFormat="1" applyFont="1" applyFill="1" applyBorder="1" applyAlignment="1">
      <alignment horizontal="center" vertical="center" wrapText="1"/>
    </xf>
    <xf numFmtId="0" fontId="14" fillId="0" borderId="0" xfId="0" applyFont="1"/>
    <xf numFmtId="0" fontId="14" fillId="0" borderId="9" xfId="0" applyFont="1" applyBorder="1" applyAlignment="1">
      <alignment horizontal="center"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right" vertical="center" wrapText="1"/>
    </xf>
    <xf numFmtId="3" fontId="14" fillId="0" borderId="9" xfId="0" applyNumberFormat="1" applyFont="1" applyBorder="1" applyAlignment="1">
      <alignment horizontal="center" vertical="center" wrapText="1"/>
    </xf>
    <xf numFmtId="3" fontId="8" fillId="10" borderId="10" xfId="17" applyNumberFormat="1" applyFont="1" applyFill="1" applyBorder="1" applyAlignment="1">
      <alignment horizontal="center" vertical="center" wrapText="1"/>
    </xf>
    <xf numFmtId="0" fontId="8" fillId="9" borderId="10" xfId="0" applyFont="1" applyFill="1" applyBorder="1" applyAlignment="1">
      <alignment horizontal="left" vertical="center" wrapText="1"/>
    </xf>
    <xf numFmtId="0" fontId="8" fillId="10" borderId="10" xfId="0" applyFont="1" applyFill="1" applyBorder="1" applyAlignment="1">
      <alignment horizontal="left" vertical="center" wrapText="1"/>
    </xf>
    <xf numFmtId="0" fontId="75" fillId="0" borderId="0" xfId="0" applyFont="1" applyAlignment="1">
      <alignment vertical="center"/>
    </xf>
    <xf numFmtId="41" fontId="16" fillId="0" borderId="10" xfId="0" applyNumberFormat="1" applyFont="1" applyBorder="1" applyAlignment="1">
      <alignment vertical="center"/>
    </xf>
    <xf numFmtId="3" fontId="8" fillId="0" borderId="10" xfId="17" applyNumberFormat="1" applyFont="1" applyFill="1" applyBorder="1" applyAlignment="1">
      <alignment horizontal="center" vertical="center" wrapText="1"/>
    </xf>
    <xf numFmtId="1" fontId="20" fillId="0" borderId="0" xfId="6" applyNumberFormat="1" applyFont="1" applyAlignment="1">
      <alignment vertical="center" wrapText="1"/>
    </xf>
    <xf numFmtId="174" fontId="7" fillId="10" borderId="10" xfId="8" applyNumberFormat="1" applyFont="1" applyFill="1" applyBorder="1" applyAlignment="1">
      <alignment horizontal="right" vertical="top" wrapText="1"/>
    </xf>
    <xf numFmtId="0" fontId="14" fillId="0" borderId="11" xfId="0" applyFont="1" applyBorder="1" applyAlignment="1">
      <alignment horizontal="center" vertical="center" wrapText="1"/>
    </xf>
    <xf numFmtId="49" fontId="14" fillId="0" borderId="10" xfId="0" applyNumberFormat="1" applyFont="1" applyBorder="1" applyAlignment="1">
      <alignment horizontal="center" vertical="center" wrapText="1"/>
    </xf>
    <xf numFmtId="166" fontId="7" fillId="9" borderId="10" xfId="1" applyNumberFormat="1" applyFont="1" applyFill="1" applyBorder="1" applyAlignment="1">
      <alignment horizontal="right" vertical="center" wrapText="1"/>
    </xf>
    <xf numFmtId="0" fontId="7" fillId="9" borderId="10" xfId="0" quotePrefix="1" applyFont="1" applyFill="1" applyBorder="1" applyAlignment="1">
      <alignment horizontal="center" vertical="center" wrapText="1"/>
    </xf>
    <xf numFmtId="166" fontId="22" fillId="0" borderId="22" xfId="3" applyNumberFormat="1" applyFont="1" applyFill="1" applyBorder="1" applyAlignment="1">
      <alignment horizontal="left" vertical="center" wrapText="1"/>
    </xf>
    <xf numFmtId="0" fontId="78" fillId="0" borderId="10" xfId="0" applyFont="1" applyBorder="1" applyAlignment="1">
      <alignment vertical="center"/>
    </xf>
    <xf numFmtId="0" fontId="10" fillId="0" borderId="0" xfId="0" applyFont="1" applyAlignment="1">
      <alignment horizontal="center" vertical="center"/>
    </xf>
    <xf numFmtId="165" fontId="10" fillId="0" borderId="0" xfId="0" applyNumberFormat="1" applyFont="1" applyAlignment="1">
      <alignment horizontal="center" vertical="center"/>
    </xf>
    <xf numFmtId="165" fontId="4" fillId="0" borderId="0" xfId="0" applyNumberFormat="1" applyFont="1" applyAlignment="1">
      <alignment vertical="center"/>
    </xf>
    <xf numFmtId="0" fontId="78" fillId="0" borderId="0" xfId="0" applyFont="1" applyAlignment="1">
      <alignment vertical="center"/>
    </xf>
    <xf numFmtId="165" fontId="78" fillId="0" borderId="0" xfId="4" applyNumberFormat="1" applyFont="1" applyBorder="1" applyAlignment="1">
      <alignment horizontal="center" vertical="center"/>
    </xf>
    <xf numFmtId="171" fontId="78" fillId="0" borderId="0" xfId="4" applyNumberFormat="1" applyFont="1" applyBorder="1" applyAlignment="1">
      <alignment horizontal="center" vertical="center"/>
    </xf>
    <xf numFmtId="0" fontId="69" fillId="0" borderId="0" xfId="0" applyFont="1" applyAlignment="1">
      <alignment horizontal="center" vertical="center"/>
    </xf>
    <xf numFmtId="166" fontId="69" fillId="0" borderId="0" xfId="0" applyNumberFormat="1" applyFont="1" applyAlignment="1">
      <alignment horizontal="center" vertical="center"/>
    </xf>
    <xf numFmtId="166" fontId="69" fillId="0" borderId="0" xfId="0" applyNumberFormat="1" applyFont="1" applyAlignment="1">
      <alignment horizontal="right" vertical="center"/>
    </xf>
    <xf numFmtId="0" fontId="11" fillId="0" borderId="0" xfId="0" applyFont="1" applyAlignment="1">
      <alignment vertical="center"/>
    </xf>
    <xf numFmtId="0" fontId="6" fillId="0" borderId="0" xfId="0" applyFont="1" applyAlignment="1">
      <alignment horizontal="right" vertical="center"/>
    </xf>
    <xf numFmtId="165" fontId="6" fillId="0" borderId="0" xfId="0" applyNumberFormat="1" applyFont="1" applyAlignment="1">
      <alignment horizontal="right" vertical="center"/>
    </xf>
    <xf numFmtId="0" fontId="6" fillId="0" borderId="2" xfId="0" applyFont="1" applyBorder="1" applyAlignment="1">
      <alignment horizontal="right" vertical="center"/>
    </xf>
    <xf numFmtId="167" fontId="39" fillId="0" borderId="5" xfId="0" applyNumberFormat="1" applyFont="1" applyBorder="1" applyAlignment="1">
      <alignment vertical="center" wrapText="1"/>
    </xf>
    <xf numFmtId="167" fontId="39" fillId="0" borderId="6" xfId="0" applyNumberFormat="1" applyFont="1" applyBorder="1" applyAlignment="1">
      <alignment vertical="center" wrapText="1"/>
    </xf>
    <xf numFmtId="167" fontId="39" fillId="0" borderId="13" xfId="0" applyNumberFormat="1" applyFont="1" applyBorder="1" applyAlignment="1">
      <alignment vertical="center" wrapText="1"/>
    </xf>
    <xf numFmtId="167" fontId="39" fillId="0" borderId="0" xfId="0" applyNumberFormat="1" applyFont="1" applyAlignment="1">
      <alignment vertical="center" wrapText="1"/>
    </xf>
    <xf numFmtId="166" fontId="10" fillId="13" borderId="10" xfId="5" applyNumberFormat="1" applyFont="1" applyFill="1" applyBorder="1" applyAlignment="1">
      <alignment horizontal="left" vertical="center" wrapText="1"/>
    </xf>
    <xf numFmtId="166" fontId="78" fillId="0" borderId="0" xfId="0" applyNumberFormat="1" applyFont="1" applyAlignment="1">
      <alignment vertical="center"/>
    </xf>
    <xf numFmtId="167" fontId="39" fillId="0" borderId="1" xfId="0" applyNumberFormat="1" applyFont="1" applyBorder="1" applyAlignment="1">
      <alignment vertical="center" wrapText="1"/>
    </xf>
    <xf numFmtId="167" fontId="39" fillId="0" borderId="18" xfId="0" applyNumberFormat="1" applyFont="1" applyBorder="1" applyAlignment="1">
      <alignment horizontal="center" vertical="center" wrapText="1"/>
    </xf>
    <xf numFmtId="167" fontId="39" fillId="0" borderId="19" xfId="0" applyNumberFormat="1" applyFont="1" applyBorder="1" applyAlignment="1">
      <alignment horizontal="center" vertical="center" wrapText="1"/>
    </xf>
    <xf numFmtId="167" fontId="39" fillId="0" borderId="16" xfId="0" applyNumberFormat="1" applyFont="1" applyBorder="1" applyAlignment="1">
      <alignment vertical="center" wrapText="1"/>
    </xf>
    <xf numFmtId="167" fontId="39" fillId="0" borderId="0" xfId="0" applyNumberFormat="1" applyFont="1" applyAlignment="1">
      <alignment horizontal="center" vertical="center" wrapText="1"/>
    </xf>
    <xf numFmtId="167" fontId="39" fillId="0" borderId="17" xfId="0" applyNumberFormat="1" applyFont="1" applyBorder="1" applyAlignment="1">
      <alignment horizontal="center" vertical="center" wrapText="1"/>
    </xf>
    <xf numFmtId="166" fontId="10" fillId="13" borderId="0" xfId="5" applyNumberFormat="1" applyFont="1" applyFill="1" applyBorder="1" applyAlignment="1">
      <alignment horizontal="left" vertical="center" wrapText="1"/>
    </xf>
    <xf numFmtId="167" fontId="66" fillId="3" borderId="2" xfId="0" applyNumberFormat="1" applyFont="1" applyFill="1" applyBorder="1" applyAlignment="1">
      <alignment horizontal="center" vertical="center" wrapText="1"/>
    </xf>
    <xf numFmtId="167" fontId="39" fillId="0" borderId="8" xfId="0" applyNumberFormat="1" applyFont="1" applyBorder="1" applyAlignment="1">
      <alignment horizontal="center" vertical="center" wrapText="1"/>
    </xf>
    <xf numFmtId="167" fontId="39" fillId="0" borderId="18" xfId="0" applyNumberFormat="1" applyFont="1" applyBorder="1" applyAlignment="1">
      <alignment vertical="center" wrapText="1"/>
    </xf>
    <xf numFmtId="167" fontId="39" fillId="0" borderId="1" xfId="0" applyNumberFormat="1" applyFont="1" applyBorder="1" applyAlignment="1">
      <alignment horizontal="center" vertical="center" wrapText="1"/>
    </xf>
    <xf numFmtId="166" fontId="10" fillId="0" borderId="0" xfId="0" applyNumberFormat="1" applyFont="1" applyAlignment="1">
      <alignment horizontal="right" vertical="center"/>
    </xf>
    <xf numFmtId="166" fontId="10" fillId="0" borderId="0" xfId="0" applyNumberFormat="1" applyFont="1" applyAlignment="1">
      <alignment horizontal="center" vertical="center"/>
    </xf>
    <xf numFmtId="166" fontId="78" fillId="0" borderId="0" xfId="0" applyNumberFormat="1" applyFont="1" applyAlignment="1">
      <alignment horizontal="center" vertical="center"/>
    </xf>
    <xf numFmtId="165" fontId="78" fillId="0" borderId="0" xfId="4" applyNumberFormat="1" applyFont="1" applyFill="1" applyBorder="1" applyAlignment="1">
      <alignment vertical="center"/>
    </xf>
    <xf numFmtId="3" fontId="39" fillId="0" borderId="9" xfId="0" applyNumberFormat="1" applyFont="1" applyBorder="1" applyAlignment="1">
      <alignment horizontal="center" vertical="center" wrapText="1"/>
    </xf>
    <xf numFmtId="3" fontId="39" fillId="0" borderId="9" xfId="0" quotePrefix="1" applyNumberFormat="1" applyFont="1" applyBorder="1" applyAlignment="1">
      <alignment horizontal="center" vertical="center" wrapText="1"/>
    </xf>
    <xf numFmtId="167" fontId="66" fillId="3" borderId="9" xfId="0" applyNumberFormat="1" applyFont="1" applyFill="1" applyBorder="1" applyAlignment="1">
      <alignment horizontal="center" vertical="center" wrapText="1"/>
    </xf>
    <xf numFmtId="3" fontId="66" fillId="0" borderId="9" xfId="0" applyNumberFormat="1" applyFont="1" applyBorder="1" applyAlignment="1">
      <alignment horizontal="center" vertical="center" wrapText="1"/>
    </xf>
    <xf numFmtId="3" fontId="39" fillId="0" borderId="9" xfId="0" quotePrefix="1" applyNumberFormat="1" applyFont="1" applyBorder="1" applyAlignment="1">
      <alignment horizontal="right" vertical="center" wrapText="1"/>
    </xf>
    <xf numFmtId="9" fontId="39" fillId="0" borderId="9" xfId="2" applyFont="1" applyBorder="1" applyAlignment="1">
      <alignment horizontal="right" vertical="center" wrapText="1"/>
    </xf>
    <xf numFmtId="9" fontId="39" fillId="0" borderId="9" xfId="2" applyFont="1" applyBorder="1" applyAlignment="1">
      <alignment horizontal="center" vertical="center" wrapText="1"/>
    </xf>
    <xf numFmtId="0" fontId="10" fillId="0" borderId="10" xfId="0" applyFont="1" applyBorder="1" applyAlignment="1">
      <alignment horizontal="center" vertical="center" wrapText="1"/>
    </xf>
    <xf numFmtId="0" fontId="10" fillId="0" borderId="10" xfId="0" applyFont="1" applyBorder="1" applyAlignment="1">
      <alignment horizontal="left" vertical="center" wrapText="1"/>
    </xf>
    <xf numFmtId="166" fontId="10" fillId="0" borderId="10" xfId="5" applyNumberFormat="1" applyFont="1" applyFill="1" applyBorder="1" applyAlignment="1">
      <alignment horizontal="left" vertical="center" wrapText="1"/>
    </xf>
    <xf numFmtId="166" fontId="10" fillId="0" borderId="10" xfId="5" applyNumberFormat="1" applyFont="1" applyFill="1" applyBorder="1" applyAlignment="1">
      <alignment horizontal="right" vertical="center" wrapText="1"/>
    </xf>
    <xf numFmtId="9" fontId="10" fillId="0" borderId="10" xfId="2" applyFont="1" applyFill="1" applyBorder="1" applyAlignment="1">
      <alignment horizontal="right" vertical="center" wrapText="1"/>
    </xf>
    <xf numFmtId="0" fontId="78" fillId="0" borderId="0" xfId="0" applyFont="1" applyAlignment="1">
      <alignment horizontal="center" vertical="center"/>
    </xf>
    <xf numFmtId="166" fontId="39" fillId="0" borderId="0" xfId="4" applyNumberFormat="1" applyFont="1" applyFill="1" applyBorder="1" applyAlignment="1">
      <alignment horizontal="center" vertical="center" wrapText="1"/>
    </xf>
    <xf numFmtId="0" fontId="66" fillId="0" borderId="10" xfId="0" applyFont="1" applyBorder="1" applyAlignment="1">
      <alignment horizontal="left" vertical="center" wrapText="1"/>
    </xf>
    <xf numFmtId="3" fontId="39" fillId="0" borderId="10" xfId="0" applyNumberFormat="1" applyFont="1" applyBorder="1" applyAlignment="1">
      <alignment horizontal="center" vertical="center" wrapText="1"/>
    </xf>
    <xf numFmtId="3" fontId="39" fillId="0" borderId="10" xfId="0" quotePrefix="1" applyNumberFormat="1" applyFont="1" applyBorder="1" applyAlignment="1">
      <alignment horizontal="center" vertical="center" wrapText="1"/>
    </xf>
    <xf numFmtId="167" fontId="66" fillId="3" borderId="10" xfId="0" applyNumberFormat="1" applyFont="1" applyFill="1" applyBorder="1" applyAlignment="1">
      <alignment horizontal="center" vertical="center" wrapText="1"/>
    </xf>
    <xf numFmtId="3" fontId="66" fillId="0" borderId="10" xfId="0" applyNumberFormat="1" applyFont="1" applyBorder="1" applyAlignment="1">
      <alignment horizontal="center" vertical="center" wrapText="1"/>
    </xf>
    <xf numFmtId="3" fontId="39" fillId="0" borderId="10" xfId="0" quotePrefix="1" applyNumberFormat="1" applyFont="1" applyBorder="1" applyAlignment="1">
      <alignment horizontal="right" vertical="center" wrapText="1"/>
    </xf>
    <xf numFmtId="9" fontId="39" fillId="0" borderId="10" xfId="2" applyFont="1" applyBorder="1" applyAlignment="1">
      <alignment horizontal="right" vertical="center" wrapText="1"/>
    </xf>
    <xf numFmtId="0" fontId="79" fillId="0" borderId="10" xfId="0" quotePrefix="1" applyFont="1" applyBorder="1" applyAlignment="1">
      <alignment horizontal="center" vertical="center" wrapText="1"/>
    </xf>
    <xf numFmtId="49" fontId="79" fillId="0" borderId="10" xfId="0" quotePrefix="1" applyNumberFormat="1" applyFont="1" applyBorder="1" applyAlignment="1">
      <alignment vertical="center" wrapText="1"/>
    </xf>
    <xf numFmtId="0" fontId="80" fillId="0" borderId="10" xfId="0" quotePrefix="1" applyFont="1" applyBorder="1" applyAlignment="1">
      <alignment horizontal="center" vertical="center" wrapText="1"/>
    </xf>
    <xf numFmtId="49" fontId="80" fillId="0" borderId="10" xfId="0" quotePrefix="1" applyNumberFormat="1" applyFont="1" applyBorder="1" applyAlignment="1">
      <alignment vertical="center" wrapText="1"/>
    </xf>
    <xf numFmtId="49" fontId="79" fillId="0" borderId="10" xfId="0" applyNumberFormat="1" applyFont="1" applyBorder="1" applyAlignment="1">
      <alignment vertical="center" wrapText="1"/>
    </xf>
    <xf numFmtId="0" fontId="39" fillId="0" borderId="10" xfId="0" applyFont="1" applyBorder="1" applyAlignment="1">
      <alignment horizontal="left" vertical="center" wrapText="1"/>
    </xf>
    <xf numFmtId="0" fontId="39" fillId="0" borderId="10" xfId="0" quotePrefix="1" applyFont="1" applyBorder="1" applyAlignment="1">
      <alignment horizontal="center" vertical="center" wrapText="1"/>
    </xf>
    <xf numFmtId="166" fontId="39" fillId="0" borderId="10" xfId="4" applyNumberFormat="1" applyFont="1" applyFill="1" applyBorder="1" applyAlignment="1">
      <alignment horizontal="right" vertical="center" wrapText="1"/>
    </xf>
    <xf numFmtId="177" fontId="10" fillId="0" borderId="0" xfId="4" applyNumberFormat="1" applyFont="1" applyFill="1" applyBorder="1" applyAlignment="1">
      <alignment vertical="center"/>
    </xf>
    <xf numFmtId="166" fontId="10" fillId="0" borderId="10" xfId="4" applyNumberFormat="1" applyFont="1" applyFill="1" applyBorder="1" applyAlignment="1">
      <alignment horizontal="right" vertical="center" wrapText="1"/>
    </xf>
    <xf numFmtId="165" fontId="10" fillId="0" borderId="0" xfId="4" applyNumberFormat="1" applyFont="1" applyFill="1" applyBorder="1" applyAlignment="1">
      <alignment vertical="center"/>
    </xf>
    <xf numFmtId="166" fontId="10" fillId="0" borderId="0" xfId="0" applyNumberFormat="1" applyFont="1" applyAlignment="1">
      <alignment vertical="center"/>
    </xf>
    <xf numFmtId="0" fontId="10" fillId="0" borderId="0" xfId="0" applyFont="1" applyAlignment="1">
      <alignment vertical="center"/>
    </xf>
    <xf numFmtId="166" fontId="39" fillId="0" borderId="10" xfId="5" applyNumberFormat="1" applyFont="1" applyFill="1" applyBorder="1" applyAlignment="1">
      <alignment horizontal="left" vertical="center" wrapText="1"/>
    </xf>
    <xf numFmtId="166" fontId="39" fillId="0" borderId="10" xfId="5" applyNumberFormat="1" applyFont="1" applyFill="1" applyBorder="1" applyAlignment="1">
      <alignment horizontal="right" vertical="center" wrapText="1"/>
    </xf>
    <xf numFmtId="9" fontId="39" fillId="0" borderId="10" xfId="2" applyFont="1" applyFill="1" applyBorder="1" applyAlignment="1">
      <alignment horizontal="right" vertical="center" wrapText="1"/>
    </xf>
    <xf numFmtId="166" fontId="39" fillId="0" borderId="10" xfId="4" applyNumberFormat="1" applyFont="1" applyFill="1" applyBorder="1" applyAlignment="1">
      <alignment horizontal="center" vertical="center" wrapText="1"/>
    </xf>
    <xf numFmtId="0" fontId="39" fillId="0" borderId="10" xfId="0" applyFont="1" applyBorder="1" applyAlignment="1">
      <alignment horizontal="center" vertical="top" wrapText="1"/>
    </xf>
    <xf numFmtId="0" fontId="39" fillId="0" borderId="10" xfId="0" applyFont="1" applyBorder="1" applyAlignment="1">
      <alignment horizontal="left" vertical="top" wrapText="1"/>
    </xf>
    <xf numFmtId="166" fontId="39" fillId="0" borderId="10" xfId="4" applyNumberFormat="1" applyFont="1" applyFill="1" applyBorder="1" applyAlignment="1">
      <alignment horizontal="right" vertical="top" wrapText="1"/>
    </xf>
    <xf numFmtId="166" fontId="39" fillId="0" borderId="10" xfId="5" applyNumberFormat="1" applyFont="1" applyFill="1" applyBorder="1" applyAlignment="1">
      <alignment horizontal="left" vertical="top" wrapText="1"/>
    </xf>
    <xf numFmtId="166" fontId="39" fillId="0" borderId="10" xfId="5" applyNumberFormat="1" applyFont="1" applyFill="1" applyBorder="1" applyAlignment="1">
      <alignment horizontal="right" vertical="top" wrapText="1"/>
    </xf>
    <xf numFmtId="9" fontId="39" fillId="0" borderId="10" xfId="2" applyFont="1" applyFill="1" applyBorder="1" applyAlignment="1">
      <alignment horizontal="right" vertical="top" wrapText="1"/>
    </xf>
    <xf numFmtId="166" fontId="39" fillId="0" borderId="10" xfId="4" applyNumberFormat="1" applyFont="1" applyFill="1" applyBorder="1" applyAlignment="1">
      <alignment horizontal="center" vertical="top" wrapText="1"/>
    </xf>
    <xf numFmtId="166" fontId="39" fillId="0" borderId="0" xfId="4" applyNumberFormat="1" applyFont="1" applyFill="1" applyBorder="1" applyAlignment="1">
      <alignment horizontal="center" vertical="top" wrapText="1"/>
    </xf>
    <xf numFmtId="165" fontId="10" fillId="0" borderId="0" xfId="4" applyNumberFormat="1" applyFont="1" applyFill="1" applyBorder="1" applyAlignment="1">
      <alignment vertical="top"/>
    </xf>
    <xf numFmtId="166" fontId="10" fillId="0" borderId="0" xfId="0" applyNumberFormat="1" applyFont="1" applyAlignment="1">
      <alignment vertical="top"/>
    </xf>
    <xf numFmtId="0" fontId="10" fillId="0" borderId="0" xfId="0" applyFont="1" applyAlignment="1">
      <alignment vertical="top"/>
    </xf>
    <xf numFmtId="166" fontId="66" fillId="0" borderId="10" xfId="4" applyNumberFormat="1" applyFont="1" applyFill="1" applyBorder="1" applyAlignment="1">
      <alignment horizontal="right" vertical="center" wrapText="1"/>
    </xf>
    <xf numFmtId="166" fontId="66" fillId="0" borderId="10" xfId="5" applyNumberFormat="1" applyFont="1" applyFill="1" applyBorder="1" applyAlignment="1">
      <alignment horizontal="left" vertical="center" wrapText="1"/>
    </xf>
    <xf numFmtId="166" fontId="66" fillId="0" borderId="10" xfId="5" applyNumberFormat="1" applyFont="1" applyFill="1" applyBorder="1" applyAlignment="1">
      <alignment horizontal="right" vertical="center" wrapText="1"/>
    </xf>
    <xf numFmtId="9" fontId="66" fillId="0" borderId="10" xfId="2" applyFont="1" applyFill="1" applyBorder="1" applyAlignment="1">
      <alignment horizontal="right" vertical="center" wrapText="1"/>
    </xf>
    <xf numFmtId="166" fontId="10" fillId="0" borderId="10" xfId="4" applyNumberFormat="1" applyFont="1" applyFill="1" applyBorder="1" applyAlignment="1">
      <alignment horizontal="center" vertical="center" wrapText="1"/>
    </xf>
    <xf numFmtId="165" fontId="66" fillId="0" borderId="0" xfId="4" applyNumberFormat="1" applyFont="1" applyFill="1" applyBorder="1" applyAlignment="1">
      <alignment vertical="center"/>
    </xf>
    <xf numFmtId="166" fontId="66" fillId="0" borderId="0" xfId="0" applyNumberFormat="1" applyFont="1" applyAlignment="1">
      <alignment vertical="center"/>
    </xf>
    <xf numFmtId="0" fontId="66" fillId="0" borderId="0" xfId="0" applyFont="1" applyAlignment="1">
      <alignment vertical="center"/>
    </xf>
    <xf numFmtId="166" fontId="81" fillId="0" borderId="10" xfId="4" applyNumberFormat="1" applyFont="1" applyFill="1" applyBorder="1" applyAlignment="1">
      <alignment horizontal="center" vertical="center" wrapText="1"/>
    </xf>
    <xf numFmtId="166" fontId="66" fillId="0" borderId="0" xfId="4" applyNumberFormat="1" applyFont="1" applyFill="1" applyBorder="1" applyAlignment="1">
      <alignment horizontal="center" vertical="center" wrapText="1"/>
    </xf>
    <xf numFmtId="165" fontId="66" fillId="0" borderId="0" xfId="0" applyNumberFormat="1" applyFont="1" applyAlignment="1">
      <alignment vertical="center"/>
    </xf>
    <xf numFmtId="166" fontId="77" fillId="0" borderId="10" xfId="4" applyNumberFormat="1" applyFont="1" applyFill="1" applyBorder="1" applyAlignment="1">
      <alignment horizontal="right" vertical="center" wrapText="1"/>
    </xf>
    <xf numFmtId="166" fontId="10" fillId="0" borderId="10" xfId="0" applyNumberFormat="1" applyFont="1" applyBorder="1" applyAlignment="1">
      <alignment vertical="center"/>
    </xf>
    <xf numFmtId="165" fontId="39" fillId="0" borderId="0" xfId="4" applyNumberFormat="1" applyFont="1" applyFill="1" applyBorder="1" applyAlignment="1">
      <alignment vertical="center"/>
    </xf>
    <xf numFmtId="165" fontId="39" fillId="0" borderId="0" xfId="0" applyNumberFormat="1" applyFont="1" applyAlignment="1">
      <alignment vertical="center"/>
    </xf>
    <xf numFmtId="0" fontId="39" fillId="0" borderId="0" xfId="0" applyFont="1" applyAlignment="1">
      <alignment vertical="center"/>
    </xf>
    <xf numFmtId="166" fontId="10" fillId="0" borderId="10" xfId="4" applyNumberFormat="1" applyFont="1" applyFill="1" applyBorder="1" applyAlignment="1">
      <alignment horizontal="center" vertical="top" wrapText="1"/>
    </xf>
    <xf numFmtId="165" fontId="39" fillId="0" borderId="0" xfId="4" applyNumberFormat="1" applyFont="1" applyFill="1" applyBorder="1" applyAlignment="1">
      <alignment vertical="top"/>
    </xf>
    <xf numFmtId="0" fontId="39" fillId="0" borderId="0" xfId="0" applyFont="1" applyAlignment="1">
      <alignment vertical="top"/>
    </xf>
    <xf numFmtId="0" fontId="10" fillId="0" borderId="10" xfId="0" applyFont="1" applyBorder="1" applyAlignment="1">
      <alignment horizontal="left" vertical="top" wrapText="1"/>
    </xf>
    <xf numFmtId="164" fontId="39" fillId="0" borderId="0" xfId="4" applyFont="1" applyFill="1" applyBorder="1" applyAlignment="1">
      <alignment vertical="top"/>
    </xf>
    <xf numFmtId="165" fontId="39" fillId="0" borderId="0" xfId="0" applyNumberFormat="1" applyFont="1" applyAlignment="1">
      <alignment vertical="top"/>
    </xf>
    <xf numFmtId="164" fontId="39" fillId="0" borderId="0" xfId="4" applyFont="1" applyFill="1" applyBorder="1" applyAlignment="1">
      <alignment vertical="center"/>
    </xf>
    <xf numFmtId="178" fontId="10" fillId="0" borderId="0" xfId="0" applyNumberFormat="1" applyFont="1" applyAlignment="1">
      <alignment vertical="center"/>
    </xf>
    <xf numFmtId="166" fontId="10" fillId="0" borderId="0" xfId="2" applyNumberFormat="1" applyFont="1" applyFill="1" applyBorder="1" applyAlignment="1">
      <alignment vertical="center"/>
    </xf>
    <xf numFmtId="0" fontId="66" fillId="0" borderId="10" xfId="0" quotePrefix="1" applyFont="1" applyBorder="1" applyAlignment="1">
      <alignment horizontal="center" vertical="center" wrapText="1"/>
    </xf>
    <xf numFmtId="166" fontId="81" fillId="0" borderId="10" xfId="4" applyNumberFormat="1" applyFont="1" applyFill="1" applyBorder="1" applyAlignment="1">
      <alignment horizontal="right" vertical="center" wrapText="1"/>
    </xf>
    <xf numFmtId="166" fontId="81" fillId="0" borderId="0" xfId="2" applyNumberFormat="1" applyFont="1" applyFill="1" applyBorder="1" applyAlignment="1">
      <alignment vertical="center"/>
    </xf>
    <xf numFmtId="9" fontId="66" fillId="0" borderId="0" xfId="2" applyFont="1" applyFill="1" applyBorder="1" applyAlignment="1">
      <alignment vertical="center"/>
    </xf>
    <xf numFmtId="9" fontId="10" fillId="0" borderId="0" xfId="2" applyFont="1" applyFill="1" applyBorder="1" applyAlignment="1">
      <alignment vertical="center"/>
    </xf>
    <xf numFmtId="0" fontId="39" fillId="0" borderId="10" xfId="0" quotePrefix="1" applyFont="1" applyBorder="1" applyAlignment="1">
      <alignment horizontal="center" vertical="top" wrapText="1"/>
    </xf>
    <xf numFmtId="166" fontId="10" fillId="0" borderId="10" xfId="4" applyNumberFormat="1" applyFont="1" applyFill="1" applyBorder="1" applyAlignment="1">
      <alignment horizontal="right" vertical="top" wrapText="1"/>
    </xf>
    <xf numFmtId="9" fontId="10" fillId="0" borderId="0" xfId="2" applyFont="1" applyFill="1" applyBorder="1" applyAlignment="1">
      <alignment vertical="top"/>
    </xf>
    <xf numFmtId="0" fontId="10" fillId="0" borderId="10" xfId="0" applyFont="1" applyBorder="1" applyAlignment="1">
      <alignment vertical="top"/>
    </xf>
    <xf numFmtId="166" fontId="10" fillId="0" borderId="10" xfId="5" applyNumberFormat="1" applyFont="1" applyFill="1" applyBorder="1" applyAlignment="1">
      <alignment horizontal="left" vertical="top" wrapText="1"/>
    </xf>
    <xf numFmtId="166" fontId="10" fillId="0" borderId="10" xfId="5" applyNumberFormat="1" applyFont="1" applyFill="1" applyBorder="1" applyAlignment="1">
      <alignment horizontal="right" vertical="top" wrapText="1"/>
    </xf>
    <xf numFmtId="9" fontId="10" fillId="0" borderId="10" xfId="2" applyFont="1" applyFill="1" applyBorder="1" applyAlignment="1">
      <alignment horizontal="right" vertical="top" wrapText="1"/>
    </xf>
    <xf numFmtId="0" fontId="10" fillId="0" borderId="10" xfId="0" applyFont="1" applyBorder="1" applyAlignment="1">
      <alignment horizontal="center" vertical="top"/>
    </xf>
    <xf numFmtId="0" fontId="10" fillId="0" borderId="0" xfId="0" applyFont="1" applyAlignment="1">
      <alignment horizontal="center" vertical="top"/>
    </xf>
    <xf numFmtId="0" fontId="10" fillId="0" borderId="10" xfId="0" applyFont="1" applyBorder="1" applyAlignment="1">
      <alignment vertical="center"/>
    </xf>
    <xf numFmtId="0" fontId="10" fillId="0" borderId="21" xfId="0" applyFont="1" applyBorder="1" applyAlignment="1">
      <alignment horizontal="center" vertical="center" wrapText="1"/>
    </xf>
    <xf numFmtId="0" fontId="10" fillId="0" borderId="21" xfId="0" applyFont="1" applyBorder="1" applyAlignment="1">
      <alignment horizontal="left" vertical="center" wrapText="1"/>
    </xf>
    <xf numFmtId="0" fontId="10" fillId="0" borderId="21" xfId="0" applyFont="1" applyBorder="1" applyAlignment="1">
      <alignment vertical="center"/>
    </xf>
    <xf numFmtId="166" fontId="10" fillId="0" borderId="21" xfId="5" applyNumberFormat="1" applyFont="1" applyFill="1" applyBorder="1" applyAlignment="1">
      <alignment horizontal="left" vertical="center" wrapText="1"/>
    </xf>
    <xf numFmtId="166" fontId="10" fillId="0" borderId="21" xfId="5" applyNumberFormat="1" applyFont="1" applyFill="1" applyBorder="1" applyAlignment="1">
      <alignment horizontal="right" vertical="center" wrapText="1"/>
    </xf>
    <xf numFmtId="9" fontId="10" fillId="0" borderId="21" xfId="2" applyFont="1" applyFill="1" applyBorder="1" applyAlignment="1">
      <alignment horizontal="right" vertical="center" wrapText="1"/>
    </xf>
    <xf numFmtId="0" fontId="5" fillId="0" borderId="0" xfId="0" applyFont="1" applyAlignment="1">
      <alignment horizontal="right" vertical="center"/>
    </xf>
    <xf numFmtId="0" fontId="39" fillId="8" borderId="10" xfId="0" applyFont="1" applyFill="1" applyBorder="1" applyAlignment="1">
      <alignment horizontal="center" vertical="center" wrapText="1"/>
    </xf>
    <xf numFmtId="0" fontId="39" fillId="8" borderId="10" xfId="0" applyFont="1" applyFill="1" applyBorder="1" applyAlignment="1">
      <alignment horizontal="left" vertical="center" wrapText="1"/>
    </xf>
    <xf numFmtId="166" fontId="39" fillId="8" borderId="10" xfId="4" applyNumberFormat="1" applyFont="1" applyFill="1" applyBorder="1" applyAlignment="1">
      <alignment horizontal="right" vertical="center" wrapText="1"/>
    </xf>
    <xf numFmtId="166" fontId="39" fillId="8" borderId="10" xfId="5" applyNumberFormat="1" applyFont="1" applyFill="1" applyBorder="1" applyAlignment="1">
      <alignment horizontal="right" vertical="center" wrapText="1"/>
    </xf>
    <xf numFmtId="9" fontId="39" fillId="8" borderId="10" xfId="2" applyFont="1" applyFill="1" applyBorder="1" applyAlignment="1">
      <alignment horizontal="right" vertical="center" wrapText="1"/>
    </xf>
    <xf numFmtId="0" fontId="10" fillId="8" borderId="10" xfId="0" applyFont="1" applyFill="1" applyBorder="1" applyAlignment="1">
      <alignment horizontal="center" vertical="center" wrapText="1"/>
    </xf>
    <xf numFmtId="0" fontId="10" fillId="8" borderId="10" xfId="0" applyFont="1" applyFill="1" applyBorder="1" applyAlignment="1">
      <alignment horizontal="left" vertical="center" wrapText="1"/>
    </xf>
    <xf numFmtId="0" fontId="78" fillId="8" borderId="10" xfId="0" applyFont="1" applyFill="1" applyBorder="1" applyAlignment="1">
      <alignment vertical="center"/>
    </xf>
    <xf numFmtId="166" fontId="10" fillId="8" borderId="10" xfId="5" applyNumberFormat="1" applyFont="1" applyFill="1" applyBorder="1" applyAlignment="1">
      <alignment horizontal="left" vertical="center" wrapText="1"/>
    </xf>
    <xf numFmtId="166" fontId="10" fillId="8" borderId="10" xfId="5" applyNumberFormat="1" applyFont="1" applyFill="1" applyBorder="1" applyAlignment="1">
      <alignment horizontal="right" vertical="center" wrapText="1"/>
    </xf>
    <xf numFmtId="9" fontId="10" fillId="8" borderId="10" xfId="2" applyFont="1" applyFill="1" applyBorder="1" applyAlignment="1">
      <alignment horizontal="right" vertical="center" wrapText="1"/>
    </xf>
    <xf numFmtId="166" fontId="39" fillId="0" borderId="9" xfId="1" applyNumberFormat="1" applyFont="1" applyBorder="1" applyAlignment="1">
      <alignment horizontal="right" vertical="center" wrapText="1"/>
    </xf>
    <xf numFmtId="166" fontId="10" fillId="8" borderId="10" xfId="1" applyNumberFormat="1" applyFont="1" applyFill="1" applyBorder="1" applyAlignment="1">
      <alignment horizontal="right" vertical="center" wrapText="1"/>
    </xf>
    <xf numFmtId="166" fontId="10" fillId="0" borderId="10" xfId="1" applyNumberFormat="1" applyFont="1" applyFill="1" applyBorder="1" applyAlignment="1">
      <alignment horizontal="right" vertical="center" wrapText="1"/>
    </xf>
    <xf numFmtId="166" fontId="39" fillId="0" borderId="10" xfId="1" applyNumberFormat="1" applyFont="1" applyBorder="1" applyAlignment="1">
      <alignment horizontal="right" vertical="center" wrapText="1"/>
    </xf>
    <xf numFmtId="166" fontId="39" fillId="0" borderId="10" xfId="1" applyNumberFormat="1" applyFont="1" applyBorder="1" applyAlignment="1">
      <alignment horizontal="center" vertical="center" wrapText="1"/>
    </xf>
    <xf numFmtId="166" fontId="39" fillId="8" borderId="10" xfId="1" applyNumberFormat="1" applyFont="1" applyFill="1" applyBorder="1" applyAlignment="1">
      <alignment horizontal="right" vertical="center" wrapText="1"/>
    </xf>
    <xf numFmtId="166" fontId="39" fillId="8" borderId="10" xfId="1" applyNumberFormat="1" applyFont="1" applyFill="1" applyBorder="1" applyAlignment="1">
      <alignment horizontal="center" vertical="center" wrapText="1"/>
    </xf>
    <xf numFmtId="166" fontId="10" fillId="0" borderId="10" xfId="1" applyNumberFormat="1" applyFont="1" applyFill="1" applyBorder="1" applyAlignment="1">
      <alignment horizontal="left" vertical="center" wrapText="1"/>
    </xf>
    <xf numFmtId="166" fontId="39" fillId="0" borderId="10" xfId="1" applyNumberFormat="1" applyFont="1" applyFill="1" applyBorder="1" applyAlignment="1">
      <alignment horizontal="right" vertical="center" wrapText="1"/>
    </xf>
    <xf numFmtId="166" fontId="39" fillId="0" borderId="10" xfId="1" applyNumberFormat="1" applyFont="1" applyFill="1" applyBorder="1" applyAlignment="1">
      <alignment horizontal="left" vertical="center" wrapText="1"/>
    </xf>
    <xf numFmtId="166" fontId="39" fillId="0" borderId="10" xfId="1" applyNumberFormat="1" applyFont="1" applyFill="1" applyBorder="1" applyAlignment="1">
      <alignment horizontal="right" vertical="top" wrapText="1"/>
    </xf>
    <xf numFmtId="166" fontId="39" fillId="0" borderId="10" xfId="1" applyNumberFormat="1" applyFont="1" applyFill="1" applyBorder="1" applyAlignment="1">
      <alignment horizontal="left" vertical="top" wrapText="1"/>
    </xf>
    <xf numFmtId="166" fontId="66" fillId="0" borderId="10" xfId="1" applyNumberFormat="1" applyFont="1" applyFill="1" applyBorder="1" applyAlignment="1">
      <alignment horizontal="right" vertical="center" wrapText="1"/>
    </xf>
    <xf numFmtId="166" fontId="66" fillId="0" borderId="10" xfId="1" applyNumberFormat="1" applyFont="1" applyFill="1" applyBorder="1" applyAlignment="1">
      <alignment horizontal="left" vertical="center" wrapText="1"/>
    </xf>
    <xf numFmtId="166" fontId="10" fillId="0" borderId="10" xfId="1" applyNumberFormat="1" applyFont="1" applyFill="1" applyBorder="1" applyAlignment="1">
      <alignment horizontal="right" vertical="top" wrapText="1"/>
    </xf>
    <xf numFmtId="166" fontId="10" fillId="0" borderId="10" xfId="1" applyNumberFormat="1" applyFont="1" applyFill="1" applyBorder="1" applyAlignment="1">
      <alignment horizontal="left" vertical="top" wrapText="1"/>
    </xf>
    <xf numFmtId="166" fontId="10" fillId="0" borderId="21" xfId="1" applyNumberFormat="1" applyFont="1" applyFill="1" applyBorder="1" applyAlignment="1">
      <alignment horizontal="right" vertical="center" wrapText="1"/>
    </xf>
    <xf numFmtId="166" fontId="10" fillId="0" borderId="21" xfId="1" applyNumberFormat="1" applyFont="1" applyFill="1" applyBorder="1" applyAlignment="1">
      <alignment horizontal="left" vertical="center" wrapText="1"/>
    </xf>
    <xf numFmtId="166" fontId="7" fillId="10" borderId="10" xfId="1" applyNumberFormat="1" applyFont="1" applyFill="1" applyBorder="1" applyAlignment="1">
      <alignment horizontal="center" vertical="center" wrapText="1"/>
    </xf>
    <xf numFmtId="1" fontId="14" fillId="0" borderId="11" xfId="6" applyNumberFormat="1" applyFont="1" applyBorder="1" applyAlignment="1">
      <alignment horizontal="justify" vertical="center" wrapText="1"/>
    </xf>
    <xf numFmtId="172" fontId="14" fillId="0" borderId="11" xfId="0" applyNumberFormat="1" applyFont="1" applyBorder="1" applyAlignment="1">
      <alignment horizontal="center" vertical="center" wrapText="1"/>
    </xf>
    <xf numFmtId="1" fontId="14" fillId="0" borderId="11" xfId="0" applyNumberFormat="1" applyFont="1" applyBorder="1" applyAlignment="1">
      <alignment horizontal="center" vertical="center" wrapText="1"/>
    </xf>
    <xf numFmtId="49" fontId="14" fillId="0" borderId="11" xfId="0" applyNumberFormat="1" applyFont="1" applyBorder="1" applyAlignment="1">
      <alignment horizontal="left" vertical="center" wrapText="1"/>
    </xf>
    <xf numFmtId="0" fontId="7" fillId="0" borderId="11" xfId="0" applyFont="1" applyBorder="1" applyAlignment="1">
      <alignment horizontal="center" vertical="top" wrapText="1"/>
    </xf>
    <xf numFmtId="166" fontId="14" fillId="0" borderId="11" xfId="0" applyNumberFormat="1" applyFont="1" applyBorder="1" applyAlignment="1">
      <alignment horizontal="right" vertical="center" wrapText="1"/>
    </xf>
    <xf numFmtId="166" fontId="14" fillId="0" borderId="11" xfId="0" applyNumberFormat="1" applyFont="1" applyBorder="1" applyAlignment="1">
      <alignment horizontal="center" vertical="center" wrapText="1"/>
    </xf>
    <xf numFmtId="0" fontId="7" fillId="0" borderId="11" xfId="0" applyFont="1" applyBorder="1" applyAlignment="1">
      <alignment horizontal="right" vertical="top" wrapText="1"/>
    </xf>
    <xf numFmtId="174" fontId="14" fillId="0" borderId="11" xfId="8" applyNumberFormat="1" applyFont="1" applyFill="1" applyBorder="1" applyAlignment="1">
      <alignment horizontal="right" vertical="top" wrapText="1"/>
    </xf>
    <xf numFmtId="174" fontId="7" fillId="0" borderId="11" xfId="8" applyNumberFormat="1" applyFont="1" applyFill="1" applyBorder="1" applyAlignment="1">
      <alignment horizontal="right" vertical="top" wrapText="1"/>
    </xf>
    <xf numFmtId="49" fontId="14" fillId="0" borderId="11" xfId="0" applyNumberFormat="1" applyFont="1" applyBorder="1" applyAlignment="1">
      <alignment horizontal="left" vertical="top" wrapText="1"/>
    </xf>
    <xf numFmtId="0" fontId="82" fillId="0" borderId="10" xfId="0" applyFont="1" applyBorder="1" applyAlignment="1">
      <alignment horizontal="center" vertical="center" wrapText="1"/>
    </xf>
    <xf numFmtId="0" fontId="83" fillId="0" borderId="10" xfId="0" applyFont="1" applyBorder="1" applyAlignment="1">
      <alignment horizontal="center" vertical="center" wrapText="1"/>
    </xf>
    <xf numFmtId="166" fontId="82" fillId="0" borderId="10" xfId="0" applyNumberFormat="1" applyFont="1" applyBorder="1" applyAlignment="1">
      <alignment horizontal="center" vertical="center" wrapText="1"/>
    </xf>
    <xf numFmtId="3" fontId="83" fillId="0" borderId="10" xfId="0" applyNumberFormat="1" applyFont="1" applyBorder="1" applyAlignment="1">
      <alignment horizontal="center" vertical="center" wrapText="1"/>
    </xf>
    <xf numFmtId="0" fontId="82" fillId="3" borderId="10" xfId="0" applyFont="1" applyFill="1" applyBorder="1" applyAlignment="1">
      <alignment horizontal="center" vertical="center" wrapText="1"/>
    </xf>
    <xf numFmtId="0" fontId="83" fillId="3" borderId="10" xfId="0" applyFont="1" applyFill="1" applyBorder="1" applyAlignment="1">
      <alignment horizontal="center" vertical="center" wrapText="1"/>
    </xf>
    <xf numFmtId="166" fontId="82" fillId="3" borderId="10" xfId="0" applyNumberFormat="1" applyFont="1" applyFill="1" applyBorder="1" applyAlignment="1">
      <alignment horizontal="center" vertical="center" wrapText="1"/>
    </xf>
    <xf numFmtId="3" fontId="83" fillId="3" borderId="10" xfId="0" applyNumberFormat="1" applyFont="1" applyFill="1" applyBorder="1" applyAlignment="1">
      <alignment horizontal="center" vertical="center" wrapText="1"/>
    </xf>
    <xf numFmtId="0" fontId="83" fillId="0" borderId="10" xfId="0" applyFont="1" applyBorder="1" applyAlignment="1">
      <alignment vertical="center" wrapText="1"/>
    </xf>
    <xf numFmtId="172" fontId="83" fillId="0" borderId="10" xfId="0" applyNumberFormat="1" applyFont="1" applyBorder="1" applyAlignment="1">
      <alignment horizontal="center" vertical="center" wrapText="1"/>
    </xf>
    <xf numFmtId="0" fontId="83" fillId="0" borderId="10" xfId="0" applyFont="1" applyBorder="1" applyAlignment="1">
      <alignment horizontal="center" vertical="center"/>
    </xf>
    <xf numFmtId="0" fontId="83" fillId="0" borderId="10" xfId="0" quotePrefix="1" applyFont="1" applyBorder="1" applyAlignment="1">
      <alignment horizontal="center" vertical="center" wrapText="1"/>
    </xf>
    <xf numFmtId="0" fontId="83" fillId="0" borderId="10" xfId="0" quotePrefix="1" applyFont="1" applyBorder="1" applyAlignment="1">
      <alignment vertical="top" wrapText="1"/>
    </xf>
    <xf numFmtId="3" fontId="83" fillId="0" borderId="10" xfId="6" applyNumberFormat="1" applyFont="1" applyBorder="1" applyAlignment="1">
      <alignment horizontal="center" vertical="center" wrapText="1"/>
    </xf>
    <xf numFmtId="166" fontId="83" fillId="0" borderId="10" xfId="1" applyNumberFormat="1" applyFont="1" applyFill="1" applyBorder="1" applyAlignment="1" applyProtection="1">
      <alignment vertical="center"/>
    </xf>
    <xf numFmtId="166" fontId="83" fillId="0" borderId="10" xfId="1" applyNumberFormat="1" applyFont="1" applyBorder="1" applyAlignment="1">
      <alignment vertical="center"/>
    </xf>
    <xf numFmtId="166" fontId="83" fillId="0" borderId="10" xfId="0" applyNumberFormat="1" applyFont="1" applyBorder="1" applyAlignment="1">
      <alignment vertical="center" wrapText="1"/>
    </xf>
    <xf numFmtId="0" fontId="83" fillId="0" borderId="10" xfId="0" applyFont="1" applyBorder="1" applyAlignment="1">
      <alignment vertical="top" wrapText="1"/>
    </xf>
    <xf numFmtId="166" fontId="83" fillId="0" borderId="10" xfId="1" applyNumberFormat="1" applyFont="1" applyFill="1" applyBorder="1" applyAlignment="1">
      <alignment vertical="center" wrapText="1"/>
    </xf>
    <xf numFmtId="166" fontId="83" fillId="5" borderId="10" xfId="1" applyNumberFormat="1" applyFont="1" applyFill="1" applyBorder="1" applyAlignment="1">
      <alignment vertical="center" wrapText="1"/>
    </xf>
    <xf numFmtId="0" fontId="83" fillId="0" borderId="11" xfId="0" applyFont="1" applyBorder="1" applyAlignment="1">
      <alignment horizontal="center" vertical="center" wrapText="1"/>
    </xf>
    <xf numFmtId="0" fontId="83" fillId="0" borderId="11" xfId="0" applyFont="1" applyBorder="1" applyAlignment="1">
      <alignment vertical="center" wrapText="1"/>
    </xf>
    <xf numFmtId="172" fontId="83" fillId="0" borderId="11" xfId="0" applyNumberFormat="1" applyFont="1" applyBorder="1" applyAlignment="1">
      <alignment horizontal="center" vertical="center" wrapText="1"/>
    </xf>
    <xf numFmtId="0" fontId="83" fillId="0" borderId="11" xfId="0" applyFont="1" applyBorder="1" applyAlignment="1">
      <alignment horizontal="center" vertical="center"/>
    </xf>
    <xf numFmtId="0" fontId="83" fillId="0" borderId="11" xfId="0" quotePrefix="1" applyFont="1" applyBorder="1" applyAlignment="1">
      <alignment vertical="top" wrapText="1"/>
    </xf>
    <xf numFmtId="166" fontId="83" fillId="5" borderId="11" xfId="1" applyNumberFormat="1" applyFont="1" applyFill="1" applyBorder="1" applyAlignment="1">
      <alignment vertical="center" wrapText="1"/>
    </xf>
    <xf numFmtId="166" fontId="83" fillId="0" borderId="11" xfId="1" applyNumberFormat="1" applyFont="1" applyBorder="1" applyAlignment="1">
      <alignment vertical="center"/>
    </xf>
    <xf numFmtId="166" fontId="83" fillId="0" borderId="11" xfId="0" applyNumberFormat="1" applyFont="1" applyBorder="1" applyAlignment="1">
      <alignment vertical="center" wrapText="1"/>
    </xf>
    <xf numFmtId="0" fontId="83" fillId="0" borderId="11" xfId="0" applyFont="1" applyBorder="1" applyAlignment="1">
      <alignment vertical="top" wrapText="1"/>
    </xf>
    <xf numFmtId="0" fontId="82" fillId="0" borderId="12" xfId="0" applyFont="1" applyBorder="1" applyAlignment="1">
      <alignment horizontal="center" vertical="center" wrapText="1"/>
    </xf>
    <xf numFmtId="0" fontId="82" fillId="0" borderId="12" xfId="0" quotePrefix="1" applyFont="1" applyBorder="1" applyAlignment="1">
      <alignment horizontal="center" vertical="center" wrapText="1"/>
    </xf>
    <xf numFmtId="3" fontId="82" fillId="0" borderId="12" xfId="0" applyNumberFormat="1" applyFont="1" applyBorder="1" applyAlignment="1">
      <alignment horizontal="center" vertical="center" wrapText="1"/>
    </xf>
    <xf numFmtId="3" fontId="26" fillId="0" borderId="9" xfId="6" quotePrefix="1" applyNumberFormat="1" applyFont="1" applyBorder="1" applyAlignment="1">
      <alignment horizontal="center" vertical="center" wrapText="1"/>
    </xf>
    <xf numFmtId="3" fontId="26" fillId="0" borderId="9" xfId="6" applyNumberFormat="1" applyFont="1" applyBorder="1" applyAlignment="1">
      <alignment horizontal="center" vertical="center" wrapText="1"/>
    </xf>
    <xf numFmtId="3" fontId="26" fillId="0" borderId="10" xfId="6" quotePrefix="1" applyNumberFormat="1" applyFont="1" applyBorder="1" applyAlignment="1">
      <alignment horizontal="center" vertical="center" wrapText="1"/>
    </xf>
    <xf numFmtId="3" fontId="26" fillId="0" borderId="10" xfId="6" applyNumberFormat="1" applyFont="1" applyBorder="1" applyAlignment="1">
      <alignment horizontal="left" vertical="center" wrapText="1"/>
    </xf>
    <xf numFmtId="3" fontId="26" fillId="0" borderId="10" xfId="6" applyNumberFormat="1" applyFont="1" applyBorder="1" applyAlignment="1">
      <alignment horizontal="center" vertical="center" wrapText="1"/>
    </xf>
    <xf numFmtId="49" fontId="26" fillId="0" borderId="10" xfId="6" applyNumberFormat="1" applyFont="1" applyBorder="1" applyAlignment="1">
      <alignment horizontal="center" vertical="center"/>
    </xf>
    <xf numFmtId="1" fontId="26" fillId="0" borderId="10" xfId="6" applyNumberFormat="1" applyFont="1" applyBorder="1" applyAlignment="1">
      <alignment horizontal="left" vertical="center" wrapText="1"/>
    </xf>
    <xf numFmtId="3" fontId="26" fillId="0" borderId="10" xfId="6" applyNumberFormat="1" applyFont="1" applyBorder="1" applyAlignment="1">
      <alignment vertical="center"/>
    </xf>
    <xf numFmtId="3" fontId="26" fillId="0" borderId="10" xfId="6" applyNumberFormat="1" applyFont="1" applyBorder="1" applyAlignment="1">
      <alignment horizontal="right" vertical="center"/>
    </xf>
    <xf numFmtId="49" fontId="65" fillId="0" borderId="10" xfId="6" applyNumberFormat="1" applyFont="1" applyBorder="1" applyAlignment="1">
      <alignment horizontal="center" vertical="center"/>
    </xf>
    <xf numFmtId="1" fontId="65" fillId="0" borderId="10" xfId="6" applyNumberFormat="1" applyFont="1" applyBorder="1" applyAlignment="1">
      <alignment vertical="center" wrapText="1"/>
    </xf>
    <xf numFmtId="1" fontId="65" fillId="0" borderId="10" xfId="6" applyNumberFormat="1" applyFont="1" applyBorder="1" applyAlignment="1">
      <alignment horizontal="center" vertical="center" wrapText="1"/>
    </xf>
    <xf numFmtId="3" fontId="65" fillId="0" borderId="10" xfId="6" applyNumberFormat="1" applyFont="1" applyBorder="1" applyAlignment="1">
      <alignment horizontal="right" vertical="center"/>
    </xf>
    <xf numFmtId="49" fontId="62" fillId="0" borderId="10" xfId="6" applyNumberFormat="1" applyFont="1" applyBorder="1" applyAlignment="1">
      <alignment horizontal="center" vertical="center"/>
    </xf>
    <xf numFmtId="3" fontId="62" fillId="0" borderId="10" xfId="6" applyNumberFormat="1" applyFont="1" applyBorder="1" applyAlignment="1">
      <alignment horizontal="right" vertical="center"/>
    </xf>
    <xf numFmtId="1" fontId="62" fillId="0" borderId="10" xfId="6" quotePrefix="1" applyNumberFormat="1" applyFont="1" applyBorder="1" applyAlignment="1">
      <alignment vertical="center" wrapText="1"/>
    </xf>
    <xf numFmtId="3" fontId="62" fillId="0" borderId="10" xfId="6" quotePrefix="1" applyNumberFormat="1" applyFont="1" applyBorder="1" applyAlignment="1">
      <alignment horizontal="center" vertical="center" wrapText="1"/>
    </xf>
    <xf numFmtId="41" fontId="62" fillId="0" borderId="10" xfId="39" applyNumberFormat="1" applyFont="1" applyFill="1" applyBorder="1" applyAlignment="1">
      <alignment vertical="center" wrapText="1"/>
    </xf>
    <xf numFmtId="41" fontId="62" fillId="0" borderId="10" xfId="39" applyNumberFormat="1" applyFont="1" applyFill="1" applyBorder="1" applyAlignment="1">
      <alignment horizontal="center" vertical="center" wrapText="1"/>
    </xf>
    <xf numFmtId="3" fontId="62" fillId="0" borderId="10" xfId="6" applyNumberFormat="1" applyFont="1" applyBorder="1" applyAlignment="1">
      <alignment horizontal="right" vertical="center" wrapText="1"/>
    </xf>
    <xf numFmtId="3" fontId="62" fillId="0" borderId="10" xfId="15" applyNumberFormat="1" applyFont="1" applyFill="1" applyBorder="1" applyAlignment="1">
      <alignment horizontal="right" vertical="center" wrapText="1"/>
    </xf>
    <xf numFmtId="1" fontId="65" fillId="0" borderId="10" xfId="6" applyNumberFormat="1" applyFont="1" applyBorder="1" applyAlignment="1">
      <alignment horizontal="right" vertical="center"/>
    </xf>
    <xf numFmtId="41" fontId="62" fillId="0" borderId="10" xfId="39" applyNumberFormat="1" applyFont="1" applyFill="1" applyBorder="1" applyAlignment="1">
      <alignment horizontal="left" vertical="center" wrapText="1"/>
    </xf>
    <xf numFmtId="3" fontId="62" fillId="0" borderId="10" xfId="6" applyNumberFormat="1" applyFont="1" applyBorder="1" applyAlignment="1">
      <alignment horizontal="center" vertical="center" wrapText="1"/>
    </xf>
    <xf numFmtId="1" fontId="26" fillId="0" borderId="10" xfId="6" applyNumberFormat="1" applyFont="1" applyBorder="1" applyAlignment="1">
      <alignment vertical="center" wrapText="1"/>
    </xf>
    <xf numFmtId="1" fontId="26" fillId="0" borderId="10" xfId="6" applyNumberFormat="1" applyFont="1" applyBorder="1" applyAlignment="1">
      <alignment horizontal="center" vertical="center" wrapText="1"/>
    </xf>
    <xf numFmtId="1" fontId="26" fillId="0" borderId="10" xfId="6" applyNumberFormat="1" applyFont="1" applyBorder="1" applyAlignment="1">
      <alignment horizontal="right" vertical="center"/>
    </xf>
    <xf numFmtId="3" fontId="20" fillId="0" borderId="10" xfId="6" quotePrefix="1" applyNumberFormat="1" applyFont="1" applyBorder="1" applyAlignment="1">
      <alignment horizontal="right" vertical="center" wrapText="1"/>
    </xf>
    <xf numFmtId="3" fontId="62" fillId="0" borderId="11" xfId="6" quotePrefix="1" applyNumberFormat="1" applyFont="1" applyBorder="1" applyAlignment="1">
      <alignment horizontal="center" vertical="center" wrapText="1"/>
    </xf>
    <xf numFmtId="1" fontId="20" fillId="0" borderId="11" xfId="6" applyNumberFormat="1" applyFont="1" applyBorder="1" applyAlignment="1">
      <alignment vertical="center" wrapText="1"/>
    </xf>
    <xf numFmtId="3" fontId="26" fillId="0" borderId="11" xfId="6" applyNumberFormat="1" applyFont="1" applyBorder="1" applyAlignment="1">
      <alignment horizontal="center" vertical="center" wrapText="1"/>
    </xf>
    <xf numFmtId="1" fontId="20" fillId="0" borderId="11" xfId="6" applyNumberFormat="1" applyFont="1" applyBorder="1" applyAlignment="1">
      <alignment horizontal="center" vertical="center" wrapText="1"/>
    </xf>
    <xf numFmtId="3" fontId="26" fillId="0" borderId="11" xfId="6" quotePrefix="1" applyNumberFormat="1" applyFont="1" applyBorder="1" applyAlignment="1">
      <alignment horizontal="center" vertical="center" wrapText="1"/>
    </xf>
    <xf numFmtId="41" fontId="62" fillId="0" borderId="11" xfId="39" applyNumberFormat="1" applyFont="1" applyFill="1" applyBorder="1" applyAlignment="1">
      <alignment horizontal="center" vertical="center" wrapText="1"/>
    </xf>
    <xf numFmtId="3" fontId="62" fillId="0" borderId="11" xfId="6" applyNumberFormat="1" applyFont="1" applyBorder="1" applyAlignment="1">
      <alignment horizontal="right" vertical="center"/>
    </xf>
    <xf numFmtId="3" fontId="62" fillId="0" borderId="11" xfId="6" applyNumberFormat="1" applyFont="1" applyBorder="1" applyAlignment="1">
      <alignment horizontal="right" vertical="center" wrapText="1"/>
    </xf>
    <xf numFmtId="3" fontId="20" fillId="0" borderId="11" xfId="6" quotePrefix="1" applyNumberFormat="1" applyFont="1" applyBorder="1" applyAlignment="1">
      <alignment horizontal="center" vertical="center" wrapText="1"/>
    </xf>
    <xf numFmtId="3" fontId="20" fillId="0" borderId="11" xfId="6" quotePrefix="1" applyNumberFormat="1" applyFont="1" applyBorder="1" applyAlignment="1">
      <alignment horizontal="right" vertical="center" wrapText="1"/>
    </xf>
    <xf numFmtId="3" fontId="62" fillId="0" borderId="11" xfId="15" applyNumberFormat="1" applyFont="1" applyFill="1" applyBorder="1" applyAlignment="1">
      <alignment horizontal="right" vertical="center" wrapText="1"/>
    </xf>
    <xf numFmtId="3" fontId="62" fillId="0" borderId="11" xfId="6" applyNumberFormat="1" applyFont="1" applyBorder="1" applyAlignment="1">
      <alignment horizontal="center" vertical="center" wrapText="1"/>
    </xf>
    <xf numFmtId="0" fontId="7" fillId="10" borderId="10" xfId="0" applyFont="1" applyFill="1" applyBorder="1" applyAlignment="1">
      <alignment horizontal="left" vertical="center" wrapText="1"/>
    </xf>
    <xf numFmtId="0" fontId="16" fillId="0" borderId="10" xfId="0" applyFont="1" applyBorder="1" applyAlignment="1">
      <alignment horizontal="center" vertical="top"/>
    </xf>
    <xf numFmtId="166" fontId="14" fillId="0" borderId="10" xfId="1" applyNumberFormat="1" applyFont="1" applyBorder="1" applyAlignment="1">
      <alignment horizontal="left" vertical="top" wrapText="1"/>
    </xf>
    <xf numFmtId="3" fontId="14" fillId="0" borderId="10" xfId="17" quotePrefix="1" applyNumberFormat="1" applyFont="1" applyFill="1" applyBorder="1" applyAlignment="1">
      <alignment horizontal="left" vertical="top" wrapText="1"/>
    </xf>
    <xf numFmtId="3" fontId="14" fillId="0" borderId="0" xfId="0" applyNumberFormat="1" applyFont="1" applyAlignment="1">
      <alignment horizontal="center" vertical="top" wrapText="1"/>
    </xf>
    <xf numFmtId="0" fontId="7" fillId="10" borderId="10" xfId="0" applyFont="1" applyFill="1" applyBorder="1" applyAlignment="1">
      <alignment horizontal="justify" vertical="top" wrapText="1"/>
    </xf>
    <xf numFmtId="0" fontId="14" fillId="10" borderId="10" xfId="0" quotePrefix="1" applyFont="1" applyFill="1" applyBorder="1" applyAlignment="1">
      <alignment horizontal="left" vertical="top" wrapText="1"/>
    </xf>
    <xf numFmtId="0" fontId="14" fillId="0" borderId="10" xfId="0" quotePrefix="1" applyFont="1" applyBorder="1" applyAlignment="1">
      <alignment horizontal="left" vertical="center" wrapText="1"/>
    </xf>
    <xf numFmtId="0" fontId="73" fillId="0" borderId="0" xfId="0" applyFont="1" applyAlignment="1">
      <alignment vertical="top"/>
    </xf>
    <xf numFmtId="166" fontId="64" fillId="0" borderId="0" xfId="0" applyNumberFormat="1" applyFont="1"/>
    <xf numFmtId="0" fontId="63" fillId="2" borderId="0" xfId="0" applyFont="1" applyFill="1" applyAlignment="1">
      <alignment horizontal="center" wrapText="1"/>
    </xf>
    <xf numFmtId="0" fontId="39" fillId="0" borderId="2" xfId="12" applyFont="1" applyBorder="1" applyAlignment="1">
      <alignment horizontal="center" vertical="center" wrapText="1"/>
    </xf>
    <xf numFmtId="0" fontId="38" fillId="0" borderId="0" xfId="12" applyFont="1" applyAlignment="1">
      <alignment horizontal="center" vertical="center" wrapText="1"/>
    </xf>
    <xf numFmtId="3" fontId="29" fillId="0" borderId="0" xfId="12" applyNumberFormat="1" applyFont="1" applyAlignment="1">
      <alignment horizontal="right" vertical="center" wrapText="1"/>
    </xf>
    <xf numFmtId="0" fontId="84" fillId="0" borderId="0" xfId="0" applyFont="1"/>
    <xf numFmtId="3" fontId="39" fillId="0" borderId="10" xfId="12" applyNumberFormat="1" applyFont="1" applyBorder="1" applyAlignment="1">
      <alignment horizontal="center" vertical="center" wrapText="1"/>
    </xf>
    <xf numFmtId="3" fontId="28" fillId="0" borderId="17" xfId="12" applyNumberFormat="1" applyFont="1" applyBorder="1" applyAlignment="1">
      <alignment horizontal="right" vertical="center" wrapText="1"/>
    </xf>
    <xf numFmtId="3" fontId="28" fillId="8" borderId="17" xfId="12" applyNumberFormat="1" applyFont="1" applyFill="1" applyBorder="1" applyAlignment="1">
      <alignment horizontal="right" vertical="center" wrapText="1"/>
    </xf>
    <xf numFmtId="3" fontId="28" fillId="0" borderId="23" xfId="12" applyNumberFormat="1" applyFont="1" applyBorder="1" applyAlignment="1">
      <alignment horizontal="right" vertical="center" wrapText="1"/>
    </xf>
    <xf numFmtId="3" fontId="39" fillId="0" borderId="9" xfId="12" applyNumberFormat="1" applyFont="1" applyBorder="1" applyAlignment="1">
      <alignment horizontal="right" vertical="center" wrapText="1"/>
    </xf>
    <xf numFmtId="0" fontId="27" fillId="0" borderId="11" xfId="12" applyFont="1" applyBorder="1"/>
    <xf numFmtId="0" fontId="27" fillId="0" borderId="11" xfId="12" applyFont="1" applyBorder="1" applyAlignment="1">
      <alignment horizontal="right"/>
    </xf>
    <xf numFmtId="0" fontId="0" fillId="0" borderId="11" xfId="0" applyBorder="1"/>
    <xf numFmtId="3" fontId="39" fillId="0" borderId="2" xfId="12" applyNumberFormat="1" applyFont="1" applyBorder="1" applyAlignment="1">
      <alignment horizontal="center" vertical="center" wrapText="1"/>
    </xf>
    <xf numFmtId="3" fontId="3" fillId="0" borderId="0" xfId="0" applyNumberFormat="1" applyFont="1"/>
    <xf numFmtId="0" fontId="39" fillId="0" borderId="10" xfId="12" applyFont="1" applyBorder="1" applyAlignment="1">
      <alignment horizontal="left" vertical="center" wrapText="1"/>
    </xf>
    <xf numFmtId="3" fontId="43" fillId="0" borderId="17" xfId="12" applyNumberFormat="1" applyFont="1" applyBorder="1" applyAlignment="1">
      <alignment horizontal="center" vertical="center" wrapText="1"/>
    </xf>
    <xf numFmtId="3" fontId="2" fillId="0" borderId="2" xfId="0" applyNumberFormat="1" applyFont="1" applyBorder="1"/>
    <xf numFmtId="3" fontId="28" fillId="0" borderId="10" xfId="12" applyNumberFormat="1" applyFont="1" applyBorder="1" applyAlignment="1">
      <alignment horizontal="right" vertical="center" wrapText="1"/>
    </xf>
    <xf numFmtId="3" fontId="43" fillId="0" borderId="0" xfId="12" applyNumberFormat="1" applyFont="1" applyAlignment="1">
      <alignment horizontal="center" vertical="center" wrapText="1"/>
    </xf>
    <xf numFmtId="3" fontId="2" fillId="0" borderId="0" xfId="0" applyNumberFormat="1" applyFont="1" applyAlignment="1">
      <alignment vertical="center"/>
    </xf>
    <xf numFmtId="0" fontId="2" fillId="0" borderId="0" xfId="0" applyFont="1" applyAlignment="1">
      <alignment vertical="center"/>
    </xf>
    <xf numFmtId="0" fontId="20" fillId="0" borderId="10" xfId="12" quotePrefix="1" applyFont="1" applyBorder="1" applyAlignment="1">
      <alignment horizontal="center" vertical="top" wrapText="1"/>
    </xf>
    <xf numFmtId="0" fontId="20" fillId="0" borderId="10" xfId="12" applyFont="1" applyBorder="1" applyAlignment="1">
      <alignment horizontal="left" vertical="top" wrapText="1"/>
    </xf>
    <xf numFmtId="3" fontId="20" fillId="0" borderId="10" xfId="12" applyNumberFormat="1" applyFont="1" applyBorder="1" applyAlignment="1">
      <alignment horizontal="right" vertical="top" wrapText="1"/>
    </xf>
    <xf numFmtId="3" fontId="29" fillId="0" borderId="0" xfId="12" applyNumberFormat="1" applyFont="1" applyAlignment="1">
      <alignment horizontal="right" vertical="top" wrapText="1"/>
    </xf>
    <xf numFmtId="3" fontId="0" fillId="0" borderId="0" xfId="0" applyNumberFormat="1" applyAlignment="1">
      <alignment vertical="top"/>
    </xf>
    <xf numFmtId="3" fontId="39" fillId="0" borderId="10" xfId="12" applyNumberFormat="1" applyFont="1" applyBorder="1" applyAlignment="1">
      <alignment horizontal="right" vertical="top" wrapText="1"/>
    </xf>
    <xf numFmtId="3" fontId="20" fillId="0" borderId="10" xfId="12" applyNumberFormat="1" applyFont="1" applyBorder="1" applyAlignment="1">
      <alignment horizontal="center" vertical="top" wrapText="1"/>
    </xf>
    <xf numFmtId="166" fontId="0" fillId="0" borderId="0" xfId="1" applyNumberFormat="1" applyFont="1" applyFill="1" applyAlignment="1">
      <alignment vertical="top"/>
    </xf>
    <xf numFmtId="3" fontId="20" fillId="0" borderId="10" xfId="12" applyNumberFormat="1" applyFont="1" applyBorder="1" applyAlignment="1">
      <alignment vertical="top" wrapText="1"/>
    </xf>
    <xf numFmtId="41" fontId="83" fillId="0" borderId="10" xfId="0" quotePrefix="1" applyNumberFormat="1" applyFont="1" applyBorder="1" applyAlignment="1">
      <alignment horizontal="center" vertical="center" wrapText="1"/>
    </xf>
    <xf numFmtId="0" fontId="86" fillId="0" borderId="10" xfId="0" applyFont="1" applyBorder="1" applyAlignment="1">
      <alignment horizontal="center" vertical="center" wrapText="1"/>
    </xf>
    <xf numFmtId="0" fontId="86" fillId="3" borderId="10" xfId="0" applyFont="1" applyFill="1" applyBorder="1" applyAlignment="1">
      <alignment horizontal="center" vertical="center" wrapText="1"/>
    </xf>
    <xf numFmtId="41" fontId="86" fillId="0" borderId="10" xfId="0" quotePrefix="1" applyNumberFormat="1" applyFont="1" applyBorder="1" applyAlignment="1">
      <alignment horizontal="center" vertical="center" wrapText="1"/>
    </xf>
    <xf numFmtId="0" fontId="86" fillId="0" borderId="10" xfId="0" quotePrefix="1" applyFont="1" applyBorder="1" applyAlignment="1">
      <alignment horizontal="center" vertical="center" wrapText="1"/>
    </xf>
    <xf numFmtId="0" fontId="86" fillId="5" borderId="10" xfId="24" applyFont="1" applyFill="1" applyBorder="1" applyAlignment="1">
      <alignment horizontal="center" vertical="center" wrapText="1"/>
    </xf>
    <xf numFmtId="0" fontId="86" fillId="5" borderId="11" xfId="24" applyFont="1" applyFill="1" applyBorder="1" applyAlignment="1">
      <alignment horizontal="center" vertical="center" wrapText="1"/>
    </xf>
    <xf numFmtId="167" fontId="39" fillId="0" borderId="2" xfId="0" applyNumberFormat="1" applyFont="1" applyBorder="1" applyAlignment="1">
      <alignment horizontal="center" vertical="center" wrapText="1"/>
    </xf>
    <xf numFmtId="0" fontId="26" fillId="0" borderId="0" xfId="0" applyFont="1" applyAlignment="1">
      <alignment horizontal="center" vertical="center"/>
    </xf>
    <xf numFmtId="0" fontId="26" fillId="0" borderId="0" xfId="0" applyFont="1" applyAlignment="1">
      <alignment horizontal="center" vertical="top" wrapText="1"/>
    </xf>
    <xf numFmtId="3" fontId="33" fillId="0" borderId="1" xfId="0" applyNumberFormat="1" applyFont="1" applyBorder="1" applyAlignment="1">
      <alignment horizontal="center" vertical="top"/>
    </xf>
    <xf numFmtId="173" fontId="44" fillId="0" borderId="0" xfId="0" applyNumberFormat="1" applyFont="1" applyAlignment="1">
      <alignment horizontal="center" vertical="top"/>
    </xf>
    <xf numFmtId="167" fontId="8" fillId="0" borderId="7" xfId="0" applyNumberFormat="1" applyFont="1" applyBorder="1" applyAlignment="1">
      <alignment horizontal="center" vertical="center" wrapText="1"/>
    </xf>
    <xf numFmtId="0" fontId="26" fillId="0" borderId="0" xfId="0" applyFont="1" applyAlignment="1">
      <alignment horizontal="center" vertical="top"/>
    </xf>
    <xf numFmtId="3" fontId="26" fillId="0" borderId="2" xfId="6" applyNumberFormat="1" applyFont="1" applyBorder="1" applyAlignment="1">
      <alignment horizontal="center" vertical="center" wrapText="1"/>
    </xf>
    <xf numFmtId="0" fontId="5" fillId="0" borderId="10" xfId="0" applyFont="1" applyBorder="1" applyAlignment="1">
      <alignment horizontal="center" vertical="center"/>
    </xf>
    <xf numFmtId="0" fontId="12" fillId="0" borderId="10" xfId="0" applyFont="1" applyBorder="1" applyAlignment="1">
      <alignment horizontal="justify" vertical="center" wrapText="1"/>
    </xf>
    <xf numFmtId="165" fontId="12" fillId="0" borderId="10" xfId="0" applyNumberFormat="1" applyFont="1" applyBorder="1" applyAlignment="1">
      <alignment horizontal="center" vertical="center" wrapText="1"/>
    </xf>
    <xf numFmtId="0" fontId="12" fillId="0" borderId="10" xfId="0" quotePrefix="1" applyFont="1" applyBorder="1" applyAlignment="1">
      <alignment horizontal="center" vertical="center" wrapText="1"/>
    </xf>
    <xf numFmtId="165" fontId="12" fillId="0" borderId="10" xfId="8" applyNumberFormat="1" applyFont="1" applyFill="1" applyBorder="1" applyAlignment="1">
      <alignment horizontal="center" vertical="center" wrapText="1"/>
    </xf>
    <xf numFmtId="1" fontId="5" fillId="0" borderId="10" xfId="6" applyNumberFormat="1" applyFont="1" applyBorder="1" applyAlignment="1">
      <alignment horizontal="right" vertical="center"/>
    </xf>
    <xf numFmtId="166" fontId="5" fillId="0" borderId="10" xfId="1" applyNumberFormat="1" applyFont="1" applyBorder="1" applyAlignment="1">
      <alignment horizontal="right" vertical="center"/>
    </xf>
    <xf numFmtId="3" fontId="12" fillId="0" borderId="10" xfId="17" applyNumberFormat="1" applyFont="1" applyFill="1" applyBorder="1" applyAlignment="1">
      <alignment horizontal="center" vertical="top" wrapText="1"/>
    </xf>
    <xf numFmtId="3" fontId="12" fillId="0" borderId="0" xfId="0" applyNumberFormat="1" applyFont="1" applyAlignment="1">
      <alignment horizontal="center" vertical="center" wrapText="1"/>
    </xf>
    <xf numFmtId="3" fontId="87" fillId="0" borderId="0" xfId="0" applyNumberFormat="1" applyFont="1" applyAlignment="1">
      <alignment vertical="top"/>
    </xf>
    <xf numFmtId="0" fontId="87" fillId="0" borderId="0" xfId="0" applyFont="1" applyAlignment="1">
      <alignment vertical="top"/>
    </xf>
    <xf numFmtId="166" fontId="0" fillId="0" borderId="0" xfId="0" applyNumberFormat="1" applyFont="1"/>
    <xf numFmtId="0" fontId="88" fillId="0" borderId="0" xfId="0" applyFont="1" applyAlignment="1">
      <alignment vertical="top"/>
    </xf>
    <xf numFmtId="0" fontId="89" fillId="0" borderId="0" xfId="0" applyFont="1" applyAlignment="1">
      <alignment vertical="center"/>
    </xf>
    <xf numFmtId="165" fontId="89" fillId="0" borderId="0" xfId="3" applyNumberFormat="1" applyFont="1" applyAlignment="1">
      <alignment vertical="center"/>
    </xf>
    <xf numFmtId="166" fontId="89" fillId="0" borderId="0" xfId="0" applyNumberFormat="1" applyFont="1" applyAlignment="1">
      <alignment vertical="center"/>
    </xf>
    <xf numFmtId="0" fontId="35" fillId="0" borderId="0" xfId="0" applyFont="1" applyAlignment="1">
      <alignment horizontal="center" vertical="center"/>
    </xf>
    <xf numFmtId="165" fontId="16" fillId="0" borderId="0" xfId="3" applyNumberFormat="1" applyFont="1" applyAlignment="1">
      <alignment vertical="center"/>
    </xf>
    <xf numFmtId="3" fontId="16" fillId="0" borderId="0" xfId="0" applyNumberFormat="1" applyFont="1" applyAlignment="1">
      <alignment vertical="center"/>
    </xf>
    <xf numFmtId="165" fontId="8" fillId="0" borderId="0" xfId="4" applyNumberFormat="1" applyFont="1" applyAlignment="1">
      <alignment vertical="center"/>
    </xf>
    <xf numFmtId="165" fontId="16" fillId="0" borderId="0" xfId="0" applyNumberFormat="1" applyFont="1" applyAlignment="1">
      <alignment vertical="center"/>
    </xf>
    <xf numFmtId="166" fontId="16" fillId="0" borderId="0" xfId="0" applyNumberFormat="1" applyFont="1" applyAlignment="1">
      <alignment vertical="center"/>
    </xf>
    <xf numFmtId="3" fontId="39" fillId="0" borderId="0" xfId="0" applyNumberFormat="1" applyFont="1" applyAlignment="1">
      <alignment vertical="center"/>
    </xf>
    <xf numFmtId="168" fontId="16" fillId="0" borderId="0" xfId="2" applyNumberFormat="1" applyFont="1" applyAlignment="1">
      <alignment vertical="center"/>
    </xf>
    <xf numFmtId="169" fontId="16" fillId="0" borderId="0" xfId="0" applyNumberFormat="1" applyFont="1" applyAlignment="1">
      <alignment vertical="center"/>
    </xf>
    <xf numFmtId="4" fontId="62" fillId="0" borderId="0" xfId="0" applyNumberFormat="1" applyFont="1" applyAlignment="1">
      <alignment vertical="center"/>
    </xf>
    <xf numFmtId="166" fontId="75" fillId="0" borderId="0" xfId="1" applyNumberFormat="1" applyFont="1" applyAlignment="1">
      <alignment vertical="center"/>
    </xf>
    <xf numFmtId="167" fontId="66" fillId="0" borderId="10" xfId="0" applyNumberFormat="1" applyFont="1" applyBorder="1" applyAlignment="1">
      <alignment horizontal="center" vertical="center" wrapText="1"/>
    </xf>
    <xf numFmtId="9" fontId="16" fillId="0" borderId="0" xfId="0" applyNumberFormat="1" applyFont="1" applyAlignment="1">
      <alignment horizontal="center" vertical="center"/>
    </xf>
    <xf numFmtId="166" fontId="16" fillId="0" borderId="0" xfId="0" applyNumberFormat="1" applyFont="1" applyAlignment="1">
      <alignment horizontal="left" vertical="center"/>
    </xf>
    <xf numFmtId="166" fontId="16" fillId="0" borderId="0" xfId="0" applyNumberFormat="1" applyFont="1" applyAlignment="1">
      <alignment horizontal="center" vertical="center"/>
    </xf>
    <xf numFmtId="164" fontId="16" fillId="0" borderId="0" xfId="4" applyFont="1" applyAlignment="1">
      <alignment horizontal="center" vertical="center"/>
    </xf>
    <xf numFmtId="0" fontId="16" fillId="0" borderId="2" xfId="0" applyFont="1" applyBorder="1" applyAlignment="1">
      <alignment horizontal="center" vertical="center"/>
    </xf>
    <xf numFmtId="170" fontId="16" fillId="0" borderId="0" xfId="0" applyNumberFormat="1" applyFont="1" applyAlignment="1">
      <alignment vertical="center"/>
    </xf>
    <xf numFmtId="4" fontId="26" fillId="0" borderId="0" xfId="0" applyNumberFormat="1" applyFont="1" applyAlignment="1">
      <alignment vertical="center"/>
    </xf>
    <xf numFmtId="166" fontId="75" fillId="0" borderId="0" xfId="0" applyNumberFormat="1" applyFont="1" applyAlignment="1">
      <alignment vertical="center"/>
    </xf>
    <xf numFmtId="165" fontId="16" fillId="0" borderId="0" xfId="4" applyNumberFormat="1" applyFont="1" applyAlignment="1">
      <alignment horizontal="center" vertical="center"/>
    </xf>
    <xf numFmtId="0" fontId="16" fillId="0" borderId="0" xfId="0" applyFont="1" applyAlignment="1">
      <alignment horizontal="center" vertical="center"/>
    </xf>
    <xf numFmtId="166" fontId="22" fillId="0" borderId="10" xfId="3" applyNumberFormat="1" applyFont="1" applyFill="1" applyBorder="1" applyAlignment="1">
      <alignment horizontal="left" vertical="center" wrapText="1"/>
    </xf>
    <xf numFmtId="166" fontId="22" fillId="0" borderId="0" xfId="3" applyNumberFormat="1" applyFont="1" applyFill="1" applyAlignment="1">
      <alignment horizontal="right" vertical="center"/>
    </xf>
    <xf numFmtId="168" fontId="22" fillId="0" borderId="0" xfId="2" applyNumberFormat="1" applyFont="1" applyFill="1" applyAlignment="1">
      <alignment horizontal="right" vertical="center"/>
    </xf>
    <xf numFmtId="171" fontId="20" fillId="0" borderId="10" xfId="4" applyNumberFormat="1" applyFont="1" applyFill="1" applyBorder="1" applyAlignment="1">
      <alignment horizontal="right" vertical="center" wrapText="1"/>
    </xf>
    <xf numFmtId="166" fontId="16" fillId="0" borderId="10" xfId="3" applyNumberFormat="1" applyFont="1" applyFill="1" applyBorder="1" applyAlignment="1">
      <alignment horizontal="left" vertical="center" wrapText="1"/>
    </xf>
    <xf numFmtId="165" fontId="16" fillId="0" borderId="0" xfId="3" quotePrefix="1" applyNumberFormat="1" applyFont="1" applyFill="1" applyAlignment="1">
      <alignment vertical="center"/>
    </xf>
    <xf numFmtId="165" fontId="16" fillId="0" borderId="0" xfId="3" applyNumberFormat="1" applyFont="1" applyFill="1" applyAlignment="1">
      <alignment vertical="center"/>
    </xf>
    <xf numFmtId="9" fontId="22" fillId="0" borderId="0" xfId="2" applyFont="1" applyAlignment="1">
      <alignment horizontal="right" vertical="center"/>
    </xf>
    <xf numFmtId="3" fontId="20" fillId="0" borderId="10" xfId="0" applyNumberFormat="1" applyFont="1" applyBorder="1" applyAlignment="1">
      <alignment vertical="center" wrapText="1"/>
    </xf>
    <xf numFmtId="10" fontId="22" fillId="0" borderId="0" xfId="2" applyNumberFormat="1" applyFont="1" applyAlignment="1">
      <alignment horizontal="right" vertical="center"/>
    </xf>
    <xf numFmtId="165" fontId="22" fillId="0" borderId="0" xfId="4" applyNumberFormat="1" applyFont="1" applyFill="1" applyAlignment="1">
      <alignment vertical="center"/>
    </xf>
    <xf numFmtId="165" fontId="22" fillId="0" borderId="0" xfId="3" quotePrefix="1" applyNumberFormat="1" applyFont="1" applyFill="1" applyAlignment="1">
      <alignment vertical="center"/>
    </xf>
    <xf numFmtId="165" fontId="75" fillId="0" borderId="0" xfId="0" applyNumberFormat="1" applyFont="1" applyAlignment="1">
      <alignment vertical="center"/>
    </xf>
    <xf numFmtId="166" fontId="16" fillId="0" borderId="22" xfId="3" applyNumberFormat="1" applyFont="1" applyFill="1" applyBorder="1" applyAlignment="1">
      <alignment horizontal="left" vertical="center" wrapText="1"/>
    </xf>
    <xf numFmtId="0" fontId="20" fillId="0" borderId="10" xfId="0" applyFont="1" applyBorder="1" applyAlignment="1">
      <alignment horizontal="center" vertical="center"/>
    </xf>
    <xf numFmtId="0" fontId="14" fillId="0" borderId="12" xfId="0" applyFont="1" applyBorder="1" applyAlignment="1">
      <alignment horizontal="center" vertical="center" wrapText="1"/>
    </xf>
    <xf numFmtId="0" fontId="14" fillId="0" borderId="12" xfId="0" applyFont="1" applyBorder="1" applyAlignment="1">
      <alignment horizontal="left" vertical="center" wrapText="1"/>
    </xf>
    <xf numFmtId="166" fontId="14" fillId="0" borderId="12" xfId="3" applyNumberFormat="1" applyFont="1" applyFill="1" applyBorder="1" applyAlignment="1">
      <alignment horizontal="center" vertical="center" wrapText="1"/>
    </xf>
    <xf numFmtId="166" fontId="14" fillId="5" borderId="12" xfId="3" applyNumberFormat="1" applyFont="1" applyFill="1" applyBorder="1" applyAlignment="1">
      <alignment horizontal="center" vertical="center" wrapText="1"/>
    </xf>
    <xf numFmtId="165" fontId="14" fillId="0" borderId="12" xfId="3" applyNumberFormat="1" applyFont="1" applyFill="1" applyBorder="1" applyAlignment="1">
      <alignment horizontal="right" vertical="center" wrapText="1"/>
    </xf>
    <xf numFmtId="165" fontId="14" fillId="0" borderId="12" xfId="4" applyNumberFormat="1" applyFont="1" applyFill="1" applyBorder="1" applyAlignment="1">
      <alignment horizontal="right" vertical="center" wrapText="1"/>
    </xf>
    <xf numFmtId="165" fontId="37" fillId="0" borderId="12" xfId="3" applyNumberFormat="1" applyFont="1" applyFill="1" applyBorder="1" applyAlignment="1">
      <alignment horizontal="right" vertical="center" wrapText="1"/>
    </xf>
    <xf numFmtId="171" fontId="14" fillId="0" borderId="12" xfId="4" applyNumberFormat="1" applyFont="1" applyFill="1" applyBorder="1" applyAlignment="1">
      <alignment horizontal="right" vertical="center" wrapText="1"/>
    </xf>
    <xf numFmtId="166" fontId="14" fillId="0" borderId="12" xfId="3" applyNumberFormat="1" applyFont="1" applyFill="1" applyBorder="1" applyAlignment="1">
      <alignment horizontal="left" vertical="center" wrapText="1"/>
    </xf>
    <xf numFmtId="0" fontId="14" fillId="0" borderId="10" xfId="0" applyFont="1" applyBorder="1" applyAlignment="1">
      <alignment horizontal="left" vertical="center" wrapText="1"/>
    </xf>
    <xf numFmtId="166" fontId="14" fillId="0" borderId="10" xfId="3" applyNumberFormat="1" applyFont="1" applyFill="1" applyBorder="1" applyAlignment="1">
      <alignment horizontal="center" vertical="center" wrapText="1"/>
    </xf>
    <xf numFmtId="166" fontId="14" fillId="5" borderId="10" xfId="3" applyNumberFormat="1" applyFont="1" applyFill="1" applyBorder="1" applyAlignment="1">
      <alignment horizontal="center" vertical="center" wrapText="1"/>
    </xf>
    <xf numFmtId="165" fontId="14" fillId="0" borderId="10" xfId="3" applyNumberFormat="1" applyFont="1" applyFill="1" applyBorder="1" applyAlignment="1">
      <alignment horizontal="right" vertical="center" wrapText="1"/>
    </xf>
    <xf numFmtId="165" fontId="14" fillId="0" borderId="10" xfId="4" applyNumberFormat="1" applyFont="1" applyFill="1" applyBorder="1" applyAlignment="1">
      <alignment horizontal="right" vertical="center" wrapText="1"/>
    </xf>
    <xf numFmtId="165" fontId="37" fillId="0" borderId="10" xfId="3" applyNumberFormat="1" applyFont="1" applyFill="1" applyBorder="1" applyAlignment="1">
      <alignment horizontal="right" vertical="center" wrapText="1"/>
    </xf>
    <xf numFmtId="171" fontId="14" fillId="0" borderId="10" xfId="4" applyNumberFormat="1" applyFont="1" applyFill="1" applyBorder="1" applyAlignment="1">
      <alignment horizontal="right" vertical="center" wrapText="1"/>
    </xf>
    <xf numFmtId="166" fontId="14" fillId="0" borderId="10" xfId="3" applyNumberFormat="1" applyFont="1" applyFill="1" applyBorder="1" applyAlignment="1">
      <alignment horizontal="left" vertical="center" wrapText="1"/>
    </xf>
    <xf numFmtId="0" fontId="14" fillId="0" borderId="11" xfId="0" applyFont="1" applyBorder="1" applyAlignment="1">
      <alignment horizontal="left" vertical="center" wrapText="1"/>
    </xf>
    <xf numFmtId="166" fontId="14" fillId="0" borderId="11" xfId="3" applyNumberFormat="1" applyFont="1" applyFill="1" applyBorder="1" applyAlignment="1">
      <alignment horizontal="center" vertical="center" wrapText="1"/>
    </xf>
    <xf numFmtId="166" fontId="14" fillId="5" borderId="11" xfId="3" applyNumberFormat="1" applyFont="1" applyFill="1" applyBorder="1" applyAlignment="1">
      <alignment horizontal="center" vertical="center" wrapText="1"/>
    </xf>
    <xf numFmtId="165" fontId="14" fillId="0" borderId="11" xfId="3" applyNumberFormat="1" applyFont="1" applyFill="1" applyBorder="1" applyAlignment="1">
      <alignment horizontal="right" vertical="center" wrapText="1"/>
    </xf>
    <xf numFmtId="165" fontId="14" fillId="0" borderId="11" xfId="4" applyNumberFormat="1" applyFont="1" applyFill="1" applyBorder="1" applyAlignment="1">
      <alignment horizontal="right" vertical="center" wrapText="1"/>
    </xf>
    <xf numFmtId="165" fontId="37" fillId="0" borderId="11" xfId="3" applyNumberFormat="1" applyFont="1" applyFill="1" applyBorder="1" applyAlignment="1">
      <alignment horizontal="right" vertical="center" wrapText="1"/>
    </xf>
    <xf numFmtId="171" fontId="14" fillId="0" borderId="11" xfId="4" applyNumberFormat="1" applyFont="1" applyFill="1" applyBorder="1" applyAlignment="1">
      <alignment horizontal="right" vertical="center" wrapText="1"/>
    </xf>
    <xf numFmtId="166" fontId="14" fillId="0" borderId="11" xfId="3" applyNumberFormat="1" applyFont="1" applyFill="1" applyBorder="1" applyAlignment="1">
      <alignment horizontal="left" vertical="center" wrapText="1"/>
    </xf>
    <xf numFmtId="0" fontId="16" fillId="0" borderId="5" xfId="0" applyFont="1" applyBorder="1" applyAlignment="1">
      <alignment vertical="center"/>
    </xf>
    <xf numFmtId="0" fontId="33" fillId="0" borderId="0" xfId="0" applyFont="1" applyAlignment="1">
      <alignment vertical="center"/>
    </xf>
    <xf numFmtId="166" fontId="75" fillId="0" borderId="0" xfId="0" applyNumberFormat="1" applyFont="1"/>
    <xf numFmtId="166" fontId="74" fillId="0" borderId="0" xfId="0" applyNumberFormat="1" applyFont="1" applyAlignment="1">
      <alignment vertical="center"/>
    </xf>
    <xf numFmtId="166" fontId="75" fillId="0" borderId="0" xfId="0" applyNumberFormat="1" applyFont="1" applyAlignment="1">
      <alignment vertical="top"/>
    </xf>
    <xf numFmtId="166" fontId="75" fillId="0" borderId="0" xfId="0" applyNumberFormat="1" applyFont="1" applyAlignment="1">
      <alignment horizontal="center" vertical="center"/>
    </xf>
    <xf numFmtId="0" fontId="75" fillId="0" borderId="0" xfId="0" applyFont="1" applyAlignment="1">
      <alignment vertical="center" wrapText="1"/>
    </xf>
    <xf numFmtId="0" fontId="75" fillId="0" borderId="0" xfId="0" applyFont="1" applyAlignment="1">
      <alignment horizontal="center" vertical="center"/>
    </xf>
    <xf numFmtId="0" fontId="90" fillId="0" borderId="0" xfId="0" applyFont="1"/>
    <xf numFmtId="0" fontId="75" fillId="0" borderId="0" xfId="0" applyFont="1" applyAlignment="1">
      <alignment horizontal="center"/>
    </xf>
    <xf numFmtId="9" fontId="75" fillId="0" borderId="0" xfId="2" applyFont="1"/>
    <xf numFmtId="0" fontId="8" fillId="0" borderId="9" xfId="0" applyFont="1" applyBorder="1" applyAlignment="1">
      <alignment horizontal="center" vertical="center" wrapText="1"/>
    </xf>
    <xf numFmtId="166" fontId="8" fillId="0" borderId="9" xfId="8" applyNumberFormat="1" applyFont="1" applyFill="1" applyBorder="1" applyAlignment="1">
      <alignment horizontal="right" vertical="center" wrapText="1"/>
    </xf>
    <xf numFmtId="3" fontId="8" fillId="0" borderId="9" xfId="0" applyNumberFormat="1" applyFont="1" applyBorder="1" applyAlignment="1">
      <alignment horizontal="center" vertical="center" wrapText="1"/>
    </xf>
    <xf numFmtId="0" fontId="8" fillId="9" borderId="10" xfId="0" quotePrefix="1" applyFont="1" applyFill="1" applyBorder="1" applyAlignment="1">
      <alignment horizontal="center" vertical="center"/>
    </xf>
    <xf numFmtId="0" fontId="75" fillId="9" borderId="10" xfId="0" applyFont="1" applyFill="1" applyBorder="1" applyAlignment="1">
      <alignment horizontal="center" vertical="center"/>
    </xf>
    <xf numFmtId="0" fontId="75" fillId="9" borderId="10" xfId="0" applyFont="1" applyFill="1" applyBorder="1" applyAlignment="1">
      <alignment vertical="center"/>
    </xf>
    <xf numFmtId="0" fontId="75" fillId="9" borderId="0" xfId="0" applyFont="1" applyFill="1" applyAlignment="1">
      <alignment horizontal="center" vertical="top"/>
    </xf>
    <xf numFmtId="0" fontId="16" fillId="9" borderId="10" xfId="0" applyFont="1" applyFill="1" applyBorder="1" applyAlignment="1">
      <alignment vertical="center"/>
    </xf>
    <xf numFmtId="0" fontId="16" fillId="9" borderId="10" xfId="0" applyFont="1" applyFill="1" applyBorder="1" applyAlignment="1">
      <alignment horizontal="center" vertical="center"/>
    </xf>
    <xf numFmtId="165" fontId="75" fillId="0" borderId="0" xfId="0" applyNumberFormat="1" applyFont="1" applyAlignment="1">
      <alignment vertical="top"/>
    </xf>
    <xf numFmtId="165" fontId="75" fillId="0" borderId="0" xfId="0" applyNumberFormat="1" applyFont="1"/>
    <xf numFmtId="1" fontId="20" fillId="0" borderId="10" xfId="0" applyNumberFormat="1" applyFont="1" applyBorder="1" applyAlignment="1">
      <alignment horizontal="center" vertical="center" wrapText="1"/>
    </xf>
    <xf numFmtId="1" fontId="20" fillId="5" borderId="10" xfId="0" applyNumberFormat="1"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69" fillId="0" borderId="0" xfId="0" applyFont="1" applyAlignment="1">
      <alignment horizontal="center" vertical="center" wrapText="1"/>
    </xf>
    <xf numFmtId="0" fontId="69" fillId="0" borderId="1" xfId="0" applyFont="1" applyBorder="1" applyAlignment="1">
      <alignment horizontal="right"/>
    </xf>
    <xf numFmtId="0" fontId="39" fillId="0" borderId="2" xfId="0" applyFont="1" applyBorder="1" applyAlignment="1">
      <alignment horizontal="center" vertical="center" wrapText="1"/>
    </xf>
    <xf numFmtId="167" fontId="39" fillId="0" borderId="13" xfId="0" applyNumberFormat="1" applyFont="1" applyBorder="1" applyAlignment="1">
      <alignment horizontal="center" vertical="center" wrapText="1"/>
    </xf>
    <xf numFmtId="167" fontId="39" fillId="0" borderId="16" xfId="0" applyNumberFormat="1" applyFont="1" applyBorder="1" applyAlignment="1">
      <alignment horizontal="center" vertical="center" wrapText="1"/>
    </xf>
    <xf numFmtId="167" fontId="39" fillId="0" borderId="18" xfId="0" applyNumberFormat="1" applyFont="1" applyBorder="1" applyAlignment="1">
      <alignment horizontal="center" vertical="center" wrapText="1"/>
    </xf>
    <xf numFmtId="167" fontId="39" fillId="0" borderId="3" xfId="0" applyNumberFormat="1" applyFont="1" applyBorder="1" applyAlignment="1">
      <alignment horizontal="center" vertical="center" wrapText="1"/>
    </xf>
    <xf numFmtId="167" fontId="39" fillId="0" borderId="7" xfId="0" applyNumberFormat="1" applyFont="1" applyBorder="1" applyAlignment="1">
      <alignment horizontal="center" vertical="center" wrapText="1"/>
    </xf>
    <xf numFmtId="167" fontId="39" fillId="0" borderId="8" xfId="0" applyNumberFormat="1" applyFont="1" applyBorder="1" applyAlignment="1">
      <alignment horizontal="center" vertical="center" wrapText="1"/>
    </xf>
    <xf numFmtId="167" fontId="39" fillId="0" borderId="4" xfId="0" applyNumberFormat="1" applyFont="1" applyBorder="1" applyAlignment="1">
      <alignment horizontal="center" vertical="center" wrapText="1"/>
    </xf>
    <xf numFmtId="167" fontId="39" fillId="0" borderId="6" xfId="0" applyNumberFormat="1" applyFont="1" applyBorder="1" applyAlignment="1">
      <alignment horizontal="center" vertical="center" wrapText="1"/>
    </xf>
    <xf numFmtId="167" fontId="39" fillId="0" borderId="14" xfId="0" applyNumberFormat="1" applyFont="1" applyBorder="1" applyAlignment="1">
      <alignment horizontal="center" vertical="center" wrapText="1"/>
    </xf>
    <xf numFmtId="167" fontId="39" fillId="0" borderId="15" xfId="0" applyNumberFormat="1" applyFont="1" applyBorder="1" applyAlignment="1">
      <alignment horizontal="center" vertical="center" wrapText="1"/>
    </xf>
    <xf numFmtId="0" fontId="78" fillId="0" borderId="11" xfId="0" applyFont="1" applyBorder="1" applyAlignment="1">
      <alignment horizontal="left" vertical="top" wrapText="1"/>
    </xf>
    <xf numFmtId="0" fontId="78" fillId="0" borderId="11" xfId="0" applyFont="1" applyBorder="1" applyAlignment="1">
      <alignment horizontal="left" vertical="top"/>
    </xf>
    <xf numFmtId="167" fontId="39" fillId="0" borderId="5" xfId="0" applyNumberFormat="1" applyFont="1" applyBorder="1" applyAlignment="1">
      <alignment horizontal="center" vertical="center" wrapText="1"/>
    </xf>
    <xf numFmtId="167" fontId="39" fillId="0" borderId="2" xfId="0" applyNumberFormat="1" applyFont="1" applyBorder="1" applyAlignment="1">
      <alignment horizontal="center" vertical="center" wrapText="1"/>
    </xf>
    <xf numFmtId="167" fontId="39" fillId="0" borderId="1" xfId="0" applyNumberFormat="1" applyFont="1" applyBorder="1" applyAlignment="1">
      <alignment horizontal="center" vertical="center" wrapText="1"/>
    </xf>
    <xf numFmtId="167" fontId="39" fillId="0" borderId="19" xfId="0" applyNumberFormat="1" applyFont="1" applyBorder="1" applyAlignment="1">
      <alignment horizontal="center" vertical="center" wrapText="1"/>
    </xf>
    <xf numFmtId="0" fontId="10" fillId="0" borderId="0" xfId="0" applyFont="1" applyAlignment="1">
      <alignment horizontal="center"/>
    </xf>
    <xf numFmtId="0" fontId="26" fillId="0" borderId="0" xfId="12" applyFont="1" applyAlignment="1">
      <alignment horizontal="center" vertical="center" wrapText="1"/>
    </xf>
    <xf numFmtId="0" fontId="39" fillId="0" borderId="2" xfId="12" applyFont="1" applyBorder="1" applyAlignment="1">
      <alignment horizontal="center" vertical="center" wrapText="1"/>
    </xf>
    <xf numFmtId="0" fontId="38" fillId="0" borderId="0" xfId="12" applyFont="1" applyAlignment="1">
      <alignment horizontal="center" vertical="center" wrapText="1"/>
    </xf>
    <xf numFmtId="0" fontId="38" fillId="0" borderId="0" xfId="0" applyFont="1" applyAlignment="1">
      <alignment horizontal="center" vertical="center"/>
    </xf>
    <xf numFmtId="167" fontId="39" fillId="0" borderId="9" xfId="0" applyNumberFormat="1" applyFont="1" applyBorder="1" applyAlignment="1">
      <alignment horizontal="center" vertical="center" wrapText="1"/>
    </xf>
    <xf numFmtId="167" fontId="39" fillId="0" borderId="10" xfId="0" applyNumberFormat="1" applyFont="1" applyBorder="1" applyAlignment="1">
      <alignment horizontal="center" vertical="center" wrapText="1"/>
    </xf>
    <xf numFmtId="167" fontId="39" fillId="0" borderId="11" xfId="0" applyNumberFormat="1" applyFont="1" applyBorder="1" applyAlignment="1">
      <alignment horizontal="center" vertical="center" wrapText="1"/>
    </xf>
    <xf numFmtId="167" fontId="66" fillId="0" borderId="2" xfId="0" applyNumberFormat="1" applyFont="1" applyBorder="1" applyAlignment="1">
      <alignment horizontal="center" vertical="center" wrapText="1"/>
    </xf>
    <xf numFmtId="0" fontId="16" fillId="0" borderId="0" xfId="0" applyFont="1" applyAlignment="1">
      <alignment horizontal="center" vertical="center" wrapText="1"/>
    </xf>
    <xf numFmtId="0" fontId="26" fillId="0" borderId="0" xfId="0" applyFont="1" applyAlignment="1">
      <alignment horizontal="center" vertical="center"/>
    </xf>
    <xf numFmtId="1" fontId="26" fillId="0" borderId="0" xfId="0" applyNumberFormat="1" applyFont="1" applyAlignment="1">
      <alignment horizontal="center" vertical="center"/>
    </xf>
    <xf numFmtId="0" fontId="60" fillId="0" borderId="1" xfId="0" applyFont="1" applyBorder="1" applyAlignment="1">
      <alignment horizontal="right" vertical="center"/>
    </xf>
    <xf numFmtId="0" fontId="16" fillId="0" borderId="2" xfId="0" applyFont="1" applyBorder="1" applyAlignment="1">
      <alignment horizontal="center" vertical="center"/>
    </xf>
    <xf numFmtId="167" fontId="8" fillId="0" borderId="2" xfId="0" applyNumberFormat="1" applyFont="1" applyBorder="1" applyAlignment="1">
      <alignment horizontal="center" vertical="center" wrapText="1"/>
    </xf>
    <xf numFmtId="167" fontId="66" fillId="0" borderId="10"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26" fillId="0" borderId="0" xfId="0" applyFont="1" applyAlignment="1">
      <alignment horizontal="center" vertical="top" wrapText="1"/>
    </xf>
    <xf numFmtId="0" fontId="38" fillId="0" borderId="0" xfId="0" applyFont="1" applyAlignment="1">
      <alignment horizontal="center" vertical="top" wrapText="1"/>
    </xf>
    <xf numFmtId="3" fontId="16" fillId="0" borderId="1" xfId="0" applyNumberFormat="1" applyFont="1" applyBorder="1" applyAlignment="1">
      <alignment horizontal="center" vertical="top"/>
    </xf>
    <xf numFmtId="3" fontId="33" fillId="0" borderId="1" xfId="0" applyNumberFormat="1" applyFont="1" applyBorder="1" applyAlignment="1">
      <alignment horizontal="center" vertical="top"/>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0" xfId="0" applyFont="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9" xfId="0" applyFont="1" applyBorder="1" applyAlignment="1">
      <alignment horizontal="center" vertical="center" wrapText="1"/>
    </xf>
    <xf numFmtId="0" fontId="31" fillId="0" borderId="0" xfId="0" applyFont="1" applyAlignment="1">
      <alignment horizontal="center" vertical="center"/>
    </xf>
    <xf numFmtId="173" fontId="44" fillId="0" borderId="0" xfId="0" applyNumberFormat="1" applyFont="1" applyAlignment="1">
      <alignment horizontal="center" vertical="top"/>
    </xf>
    <xf numFmtId="0" fontId="38" fillId="0" borderId="1" xfId="0" applyFont="1" applyBorder="1" applyAlignment="1">
      <alignment horizontal="right"/>
    </xf>
    <xf numFmtId="167" fontId="8" fillId="0" borderId="3" xfId="0" applyNumberFormat="1" applyFont="1" applyBorder="1" applyAlignment="1">
      <alignment horizontal="center" vertical="center" wrapText="1"/>
    </xf>
    <xf numFmtId="167" fontId="8" fillId="0" borderId="7" xfId="0" applyNumberFormat="1" applyFont="1" applyBorder="1" applyAlignment="1">
      <alignment horizontal="center" vertical="center" wrapText="1"/>
    </xf>
    <xf numFmtId="167" fontId="8" fillId="0" borderId="8" xfId="0" applyNumberFormat="1" applyFont="1" applyBorder="1" applyAlignment="1">
      <alignment horizontal="center" vertical="center" wrapText="1"/>
    </xf>
    <xf numFmtId="0" fontId="82" fillId="0" borderId="2" xfId="0" applyFont="1" applyBorder="1" applyAlignment="1">
      <alignment horizontal="center" vertical="center" wrapText="1"/>
    </xf>
    <xf numFmtId="0" fontId="38" fillId="0" borderId="0" xfId="0" applyFont="1" applyAlignment="1">
      <alignment horizontal="center" vertical="center" wrapText="1"/>
    </xf>
    <xf numFmtId="0" fontId="26" fillId="0" borderId="0" xfId="0" applyFont="1" applyAlignment="1">
      <alignment horizontal="center" vertical="center" wrapText="1"/>
    </xf>
    <xf numFmtId="3" fontId="60" fillId="0" borderId="1" xfId="0" applyNumberFormat="1" applyFont="1" applyBorder="1" applyAlignment="1">
      <alignment horizontal="center" vertical="top"/>
    </xf>
    <xf numFmtId="173" fontId="61" fillId="0" borderId="0" xfId="0" applyNumberFormat="1" applyFont="1" applyAlignment="1">
      <alignment horizontal="center" vertical="center"/>
    </xf>
    <xf numFmtId="167" fontId="82" fillId="0" borderId="2" xfId="0" applyNumberFormat="1" applyFont="1" applyBorder="1" applyAlignment="1">
      <alignment horizontal="center" vertical="center" wrapText="1"/>
    </xf>
    <xf numFmtId="0" fontId="26" fillId="0" borderId="0" xfId="0" applyFont="1" applyAlignment="1">
      <alignment horizontal="center" vertical="top"/>
    </xf>
    <xf numFmtId="3" fontId="8" fillId="0" borderId="3" xfId="13" applyNumberFormat="1" applyFont="1" applyBorder="1" applyAlignment="1">
      <alignment horizontal="center" vertical="center" wrapText="1"/>
    </xf>
    <xf numFmtId="3" fontId="8" fillId="0" borderId="8" xfId="13" applyNumberFormat="1" applyFont="1" applyBorder="1" applyAlignment="1">
      <alignment horizontal="center" vertical="center" wrapText="1"/>
    </xf>
    <xf numFmtId="3" fontId="8" fillId="0" borderId="2" xfId="13" applyNumberFormat="1" applyFont="1" applyBorder="1" applyAlignment="1">
      <alignment horizontal="center" vertical="center" wrapText="1"/>
    </xf>
    <xf numFmtId="3" fontId="8" fillId="0" borderId="4" xfId="13" applyNumberFormat="1" applyFont="1" applyBorder="1" applyAlignment="1">
      <alignment horizontal="center" vertical="center" wrapText="1"/>
    </xf>
    <xf numFmtId="3" fontId="8" fillId="0" borderId="6" xfId="13" applyNumberFormat="1" applyFont="1" applyBorder="1" applyAlignment="1">
      <alignment horizontal="center" vertical="center" wrapText="1"/>
    </xf>
    <xf numFmtId="3" fontId="8" fillId="0" borderId="5" xfId="13" applyNumberFormat="1" applyFont="1" applyBorder="1" applyAlignment="1">
      <alignment horizontal="center" vertical="center" wrapText="1"/>
    </xf>
    <xf numFmtId="3" fontId="8" fillId="0" borderId="7" xfId="13" applyNumberFormat="1" applyFont="1" applyBorder="1" applyAlignment="1">
      <alignment horizontal="center" vertical="center" wrapText="1"/>
    </xf>
    <xf numFmtId="3" fontId="26" fillId="0" borderId="0" xfId="13" applyNumberFormat="1" applyFont="1" applyAlignment="1">
      <alignment horizontal="center"/>
    </xf>
    <xf numFmtId="3" fontId="26" fillId="0" borderId="0" xfId="13" applyNumberFormat="1" applyFont="1" applyAlignment="1">
      <alignment horizontal="center" vertical="center"/>
    </xf>
    <xf numFmtId="3" fontId="67" fillId="0" borderId="0" xfId="13" applyNumberFormat="1" applyFont="1" applyAlignment="1">
      <alignment horizontal="center"/>
    </xf>
    <xf numFmtId="3" fontId="68" fillId="0" borderId="0" xfId="13" applyNumberFormat="1" applyFont="1" applyAlignment="1">
      <alignment horizontal="center"/>
    </xf>
    <xf numFmtId="3" fontId="38" fillId="0" borderId="1" xfId="13" applyNumberFormat="1" applyFont="1" applyBorder="1" applyAlignment="1">
      <alignment horizontal="center" vertical="center"/>
    </xf>
    <xf numFmtId="3" fontId="8" fillId="0" borderId="13" xfId="13" applyNumberFormat="1" applyFont="1" applyBorder="1" applyAlignment="1">
      <alignment horizontal="center" vertical="center" wrapText="1"/>
    </xf>
    <xf numFmtId="3" fontId="8" fillId="0" borderId="14" xfId="13" applyNumberFormat="1" applyFont="1" applyBorder="1" applyAlignment="1">
      <alignment horizontal="center" vertical="center" wrapText="1"/>
    </xf>
    <xf numFmtId="3" fontId="8" fillId="0" borderId="15" xfId="13" applyNumberFormat="1" applyFont="1" applyBorder="1" applyAlignment="1">
      <alignment horizontal="center" vertical="center" wrapText="1"/>
    </xf>
    <xf numFmtId="3" fontId="8" fillId="0" borderId="16" xfId="13" applyNumberFormat="1" applyFont="1" applyBorder="1" applyAlignment="1">
      <alignment horizontal="center" vertical="center" wrapText="1"/>
    </xf>
    <xf numFmtId="3" fontId="8" fillId="0" borderId="0" xfId="13" applyNumberFormat="1" applyFont="1" applyAlignment="1">
      <alignment horizontal="center" vertical="center" wrapText="1"/>
    </xf>
    <xf numFmtId="3" fontId="8" fillId="0" borderId="17" xfId="13" applyNumberFormat="1" applyFont="1" applyBorder="1" applyAlignment="1">
      <alignment horizontal="center" vertical="center" wrapText="1"/>
    </xf>
    <xf numFmtId="3" fontId="8" fillId="0" borderId="18" xfId="13" applyNumberFormat="1" applyFont="1" applyBorder="1" applyAlignment="1">
      <alignment horizontal="center" vertical="center" wrapText="1"/>
    </xf>
    <xf numFmtId="3" fontId="8" fillId="0" borderId="1" xfId="13" applyNumberFormat="1" applyFont="1" applyBorder="1" applyAlignment="1">
      <alignment horizontal="center" vertical="center" wrapText="1"/>
    </xf>
    <xf numFmtId="3" fontId="8" fillId="0" borderId="19" xfId="13" applyNumberFormat="1" applyFont="1" applyBorder="1" applyAlignment="1">
      <alignment horizontal="center" vertical="center" wrapText="1"/>
    </xf>
    <xf numFmtId="1" fontId="62" fillId="2" borderId="0" xfId="6" applyNumberFormat="1" applyFont="1" applyFill="1" applyAlignment="1">
      <alignment horizontal="center" vertical="center" wrapText="1"/>
    </xf>
    <xf numFmtId="3" fontId="26" fillId="0" borderId="2" xfId="6" applyNumberFormat="1" applyFont="1" applyBorder="1" applyAlignment="1">
      <alignment horizontal="center" vertical="center" wrapText="1"/>
    </xf>
    <xf numFmtId="3" fontId="65" fillId="0" borderId="2" xfId="6" applyNumberFormat="1" applyFont="1" applyBorder="1" applyAlignment="1">
      <alignment horizontal="center" vertical="center" wrapText="1"/>
    </xf>
    <xf numFmtId="3" fontId="65" fillId="0" borderId="2" xfId="6" applyNumberFormat="1" applyFont="1" applyBorder="1" applyAlignment="1">
      <alignment horizontal="left" vertical="center" wrapText="1"/>
    </xf>
    <xf numFmtId="1" fontId="35" fillId="0" borderId="0" xfId="6" applyNumberFormat="1" applyFont="1" applyAlignment="1">
      <alignment horizontal="center" vertical="center" wrapText="1"/>
    </xf>
    <xf numFmtId="1" fontId="36" fillId="0" borderId="0" xfId="6" applyNumberFormat="1" applyFont="1" applyAlignment="1">
      <alignment horizontal="center" vertical="center" wrapText="1"/>
    </xf>
    <xf numFmtId="1" fontId="36" fillId="0" borderId="1" xfId="6" applyNumberFormat="1" applyFont="1" applyBorder="1" applyAlignment="1">
      <alignment horizontal="right" vertical="center"/>
    </xf>
  </cellXfs>
  <cellStyles count="40">
    <cellStyle name="Bình thường 2" xfId="9"/>
    <cellStyle name="Comma" xfId="1" builtinId="3"/>
    <cellStyle name="Comma 10 10" xfId="5"/>
    <cellStyle name="Comma 10 10 2" xfId="8"/>
    <cellStyle name="Comma 12" xfId="20"/>
    <cellStyle name="Comma 13 5 2" xfId="19"/>
    <cellStyle name="Comma 2" xfId="39"/>
    <cellStyle name="Comma 2 3" xfId="25"/>
    <cellStyle name="Comma 2 4 3" xfId="38"/>
    <cellStyle name="Comma 2 5" xfId="3"/>
    <cellStyle name="Comma 2 5 2" xfId="7"/>
    <cellStyle name="Comma 20 2" xfId="29"/>
    <cellStyle name="Comma 21 4" xfId="36"/>
    <cellStyle name="Comma 3" xfId="27"/>
    <cellStyle name="Comma 4 2" xfId="18"/>
    <cellStyle name="Comma 4 2 2 3" xfId="33"/>
    <cellStyle name="Comma 5" xfId="16"/>
    <cellStyle name="Comma 7 2" xfId="15"/>
    <cellStyle name="Dấu phẩy 2" xfId="4"/>
    <cellStyle name="Normal" xfId="0" builtinId="0"/>
    <cellStyle name="Normal - Style1" xfId="32"/>
    <cellStyle name="Normal - Style1 3" xfId="31"/>
    <cellStyle name="Normal 12" xfId="30"/>
    <cellStyle name="Normal 2" xfId="14"/>
    <cellStyle name="Normal 2 10 2" xfId="21"/>
    <cellStyle name="Normal 2 12" xfId="11"/>
    <cellStyle name="Normal 2 2 2" xfId="13"/>
    <cellStyle name="Normal 25" xfId="23"/>
    <cellStyle name="Normal 3 11" xfId="22"/>
    <cellStyle name="Normal 4 18" xfId="24"/>
    <cellStyle name="Normal 4 4" xfId="28"/>
    <cellStyle name="Normal 5 4" xfId="10"/>
    <cellStyle name="Normal 51" xfId="35"/>
    <cellStyle name="Normal 55" xfId="34"/>
    <cellStyle name="Normal 64 3 4 2" xfId="12"/>
    <cellStyle name="Normal 69" xfId="37"/>
    <cellStyle name="Normal_Bieu mau (CV )" xfId="6"/>
    <cellStyle name="Normal_Sheet1 (2)" xfId="26"/>
    <cellStyle name="Percent" xfId="2" builtinId="5"/>
    <cellStyle name="Percent 2" xfId="1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editAs="oneCell">
    <xdr:from>
      <xdr:col>1</xdr:col>
      <xdr:colOff>1209675</xdr:colOff>
      <xdr:row>42</xdr:row>
      <xdr:rowOff>0</xdr:rowOff>
    </xdr:from>
    <xdr:to>
      <xdr:col>1</xdr:col>
      <xdr:colOff>1209675</xdr:colOff>
      <xdr:row>49</xdr:row>
      <xdr:rowOff>296174</xdr:rowOff>
    </xdr:to>
    <xdr:sp macro="" textlink="">
      <xdr:nvSpPr>
        <xdr:cNvPr id="2" name="Text Box 1">
          <a:extLst>
            <a:ext uri="{FF2B5EF4-FFF2-40B4-BE49-F238E27FC236}">
              <a16:creationId xmlns:a16="http://schemas.microsoft.com/office/drawing/2014/main" id="{6A0D326E-5638-4052-9ECB-E1A73AA00036}"/>
            </a:ext>
          </a:extLst>
        </xdr:cNvPr>
        <xdr:cNvSpPr txBox="1">
          <a:spLocks noChangeArrowheads="1"/>
        </xdr:cNvSpPr>
      </xdr:nvSpPr>
      <xdr:spPr bwMode="auto">
        <a:xfrm>
          <a:off x="1590675" y="8124825"/>
          <a:ext cx="0" cy="74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1209675</xdr:colOff>
      <xdr:row>42</xdr:row>
      <xdr:rowOff>0</xdr:rowOff>
    </xdr:from>
    <xdr:to>
      <xdr:col>1</xdr:col>
      <xdr:colOff>1209675</xdr:colOff>
      <xdr:row>49</xdr:row>
      <xdr:rowOff>296174</xdr:rowOff>
    </xdr:to>
    <xdr:sp macro="" textlink="">
      <xdr:nvSpPr>
        <xdr:cNvPr id="3" name="Text Box 2">
          <a:extLst>
            <a:ext uri="{FF2B5EF4-FFF2-40B4-BE49-F238E27FC236}">
              <a16:creationId xmlns:a16="http://schemas.microsoft.com/office/drawing/2014/main" id="{BBD4A06E-4526-4E33-9FC0-6E2CF3980A0A}"/>
            </a:ext>
          </a:extLst>
        </xdr:cNvPr>
        <xdr:cNvSpPr txBox="1">
          <a:spLocks noChangeArrowheads="1"/>
        </xdr:cNvSpPr>
      </xdr:nvSpPr>
      <xdr:spPr bwMode="auto">
        <a:xfrm>
          <a:off x="1590675" y="8124825"/>
          <a:ext cx="0" cy="74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1209675</xdr:colOff>
      <xdr:row>42</xdr:row>
      <xdr:rowOff>0</xdr:rowOff>
    </xdr:from>
    <xdr:to>
      <xdr:col>1</xdr:col>
      <xdr:colOff>1209675</xdr:colOff>
      <xdr:row>49</xdr:row>
      <xdr:rowOff>207331</xdr:rowOff>
    </xdr:to>
    <xdr:sp macro="" textlink="">
      <xdr:nvSpPr>
        <xdr:cNvPr id="4" name="Text Box 2">
          <a:extLst>
            <a:ext uri="{FF2B5EF4-FFF2-40B4-BE49-F238E27FC236}">
              <a16:creationId xmlns:a16="http://schemas.microsoft.com/office/drawing/2014/main" id="{AE00AA39-B7D4-4421-AFD1-EAE96C9747D9}"/>
            </a:ext>
          </a:extLst>
        </xdr:cNvPr>
        <xdr:cNvSpPr txBox="1">
          <a:spLocks noChangeArrowheads="1"/>
        </xdr:cNvSpPr>
      </xdr:nvSpPr>
      <xdr:spPr bwMode="auto">
        <a:xfrm>
          <a:off x="1590675" y="8124825"/>
          <a:ext cx="0" cy="6550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1209675</xdr:colOff>
      <xdr:row>42</xdr:row>
      <xdr:rowOff>0</xdr:rowOff>
    </xdr:from>
    <xdr:to>
      <xdr:col>1</xdr:col>
      <xdr:colOff>1209675</xdr:colOff>
      <xdr:row>49</xdr:row>
      <xdr:rowOff>206310</xdr:rowOff>
    </xdr:to>
    <xdr:sp macro="" textlink="">
      <xdr:nvSpPr>
        <xdr:cNvPr id="5" name="Text Box 1">
          <a:extLst>
            <a:ext uri="{FF2B5EF4-FFF2-40B4-BE49-F238E27FC236}">
              <a16:creationId xmlns:a16="http://schemas.microsoft.com/office/drawing/2014/main" id="{62E9B5D2-D15B-45D9-9871-B65EED30757B}"/>
            </a:ext>
          </a:extLst>
        </xdr:cNvPr>
        <xdr:cNvSpPr txBox="1">
          <a:spLocks noChangeArrowheads="1"/>
        </xdr:cNvSpPr>
      </xdr:nvSpPr>
      <xdr:spPr bwMode="auto">
        <a:xfrm>
          <a:off x="1590675" y="8124825"/>
          <a:ext cx="0" cy="6539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1209675</xdr:colOff>
      <xdr:row>42</xdr:row>
      <xdr:rowOff>0</xdr:rowOff>
    </xdr:from>
    <xdr:to>
      <xdr:col>1</xdr:col>
      <xdr:colOff>1209675</xdr:colOff>
      <xdr:row>49</xdr:row>
      <xdr:rowOff>206310</xdr:rowOff>
    </xdr:to>
    <xdr:sp macro="" textlink="">
      <xdr:nvSpPr>
        <xdr:cNvPr id="6" name="Text Box 2">
          <a:extLst>
            <a:ext uri="{FF2B5EF4-FFF2-40B4-BE49-F238E27FC236}">
              <a16:creationId xmlns:a16="http://schemas.microsoft.com/office/drawing/2014/main" id="{AD6CD139-DC92-45BF-9C11-C41FBB86FE2A}"/>
            </a:ext>
          </a:extLst>
        </xdr:cNvPr>
        <xdr:cNvSpPr txBox="1">
          <a:spLocks noChangeArrowheads="1"/>
        </xdr:cNvSpPr>
      </xdr:nvSpPr>
      <xdr:spPr bwMode="auto">
        <a:xfrm>
          <a:off x="1590675" y="8124825"/>
          <a:ext cx="0" cy="6539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1209675</xdr:colOff>
      <xdr:row>42</xdr:row>
      <xdr:rowOff>0</xdr:rowOff>
    </xdr:from>
    <xdr:ext cx="0" cy="763361"/>
    <xdr:sp macro="" textlink="">
      <xdr:nvSpPr>
        <xdr:cNvPr id="7" name="Text Box 2">
          <a:extLst>
            <a:ext uri="{FF2B5EF4-FFF2-40B4-BE49-F238E27FC236}">
              <a16:creationId xmlns:a16="http://schemas.microsoft.com/office/drawing/2014/main" id="{5F596999-DBFE-4A0B-AC98-770D84217516}"/>
            </a:ext>
          </a:extLst>
        </xdr:cNvPr>
        <xdr:cNvSpPr txBox="1">
          <a:spLocks noChangeArrowheads="1"/>
        </xdr:cNvSpPr>
      </xdr:nvSpPr>
      <xdr:spPr bwMode="auto">
        <a:xfrm>
          <a:off x="1590675" y="812482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42</xdr:row>
      <xdr:rowOff>0</xdr:rowOff>
    </xdr:from>
    <xdr:ext cx="0" cy="763361"/>
    <xdr:sp macro="" textlink="">
      <xdr:nvSpPr>
        <xdr:cNvPr id="8" name="Text Box 1">
          <a:extLst>
            <a:ext uri="{FF2B5EF4-FFF2-40B4-BE49-F238E27FC236}">
              <a16:creationId xmlns:a16="http://schemas.microsoft.com/office/drawing/2014/main" id="{7C66AC61-0846-44C9-B9F3-E222200C755F}"/>
            </a:ext>
          </a:extLst>
        </xdr:cNvPr>
        <xdr:cNvSpPr txBox="1">
          <a:spLocks noChangeArrowheads="1"/>
        </xdr:cNvSpPr>
      </xdr:nvSpPr>
      <xdr:spPr bwMode="auto">
        <a:xfrm>
          <a:off x="1590675" y="812482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42</xdr:row>
      <xdr:rowOff>0</xdr:rowOff>
    </xdr:from>
    <xdr:ext cx="0" cy="763361"/>
    <xdr:sp macro="" textlink="">
      <xdr:nvSpPr>
        <xdr:cNvPr id="9" name="Text Box 2">
          <a:extLst>
            <a:ext uri="{FF2B5EF4-FFF2-40B4-BE49-F238E27FC236}">
              <a16:creationId xmlns:a16="http://schemas.microsoft.com/office/drawing/2014/main" id="{1E73C4C4-A835-420A-822A-C7C5C73D6925}"/>
            </a:ext>
          </a:extLst>
        </xdr:cNvPr>
        <xdr:cNvSpPr txBox="1">
          <a:spLocks noChangeArrowheads="1"/>
        </xdr:cNvSpPr>
      </xdr:nvSpPr>
      <xdr:spPr bwMode="auto">
        <a:xfrm>
          <a:off x="1590675" y="8124825"/>
          <a:ext cx="0" cy="76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42</xdr:row>
      <xdr:rowOff>0</xdr:rowOff>
    </xdr:from>
    <xdr:ext cx="0" cy="593612"/>
    <xdr:sp macro="" textlink="">
      <xdr:nvSpPr>
        <xdr:cNvPr id="10" name="Text Box 2">
          <a:extLst>
            <a:ext uri="{FF2B5EF4-FFF2-40B4-BE49-F238E27FC236}">
              <a16:creationId xmlns:a16="http://schemas.microsoft.com/office/drawing/2014/main" id="{F976520C-93D8-48FA-9439-7F48FBB8BA2C}"/>
            </a:ext>
          </a:extLst>
        </xdr:cNvPr>
        <xdr:cNvSpPr txBox="1">
          <a:spLocks noChangeArrowheads="1"/>
        </xdr:cNvSpPr>
      </xdr:nvSpPr>
      <xdr:spPr bwMode="auto">
        <a:xfrm>
          <a:off x="1590675" y="8124825"/>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42</xdr:row>
      <xdr:rowOff>0</xdr:rowOff>
    </xdr:from>
    <xdr:ext cx="0" cy="602116"/>
    <xdr:sp macro="" textlink="">
      <xdr:nvSpPr>
        <xdr:cNvPr id="11" name="Text Box 1">
          <a:extLst>
            <a:ext uri="{FF2B5EF4-FFF2-40B4-BE49-F238E27FC236}">
              <a16:creationId xmlns:a16="http://schemas.microsoft.com/office/drawing/2014/main" id="{08105499-9134-4FD0-8C55-E7DE85A800B3}"/>
            </a:ext>
          </a:extLst>
        </xdr:cNvPr>
        <xdr:cNvSpPr txBox="1">
          <a:spLocks noChangeArrowheads="1"/>
        </xdr:cNvSpPr>
      </xdr:nvSpPr>
      <xdr:spPr bwMode="auto">
        <a:xfrm>
          <a:off x="1590675" y="812482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42</xdr:row>
      <xdr:rowOff>0</xdr:rowOff>
    </xdr:from>
    <xdr:ext cx="0" cy="602116"/>
    <xdr:sp macro="" textlink="">
      <xdr:nvSpPr>
        <xdr:cNvPr id="12" name="Text Box 2">
          <a:extLst>
            <a:ext uri="{FF2B5EF4-FFF2-40B4-BE49-F238E27FC236}">
              <a16:creationId xmlns:a16="http://schemas.microsoft.com/office/drawing/2014/main" id="{84886BB1-DECE-4115-9BF2-831C388E3C9C}"/>
            </a:ext>
          </a:extLst>
        </xdr:cNvPr>
        <xdr:cNvSpPr txBox="1">
          <a:spLocks noChangeArrowheads="1"/>
        </xdr:cNvSpPr>
      </xdr:nvSpPr>
      <xdr:spPr bwMode="auto">
        <a:xfrm>
          <a:off x="1590675" y="8124825"/>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49</xdr:row>
      <xdr:rowOff>0</xdr:rowOff>
    </xdr:from>
    <xdr:ext cx="0" cy="635393"/>
    <xdr:sp macro="" textlink="">
      <xdr:nvSpPr>
        <xdr:cNvPr id="13" name="Text Box 2">
          <a:extLst>
            <a:ext uri="{FF2B5EF4-FFF2-40B4-BE49-F238E27FC236}">
              <a16:creationId xmlns:a16="http://schemas.microsoft.com/office/drawing/2014/main" id="{8230DB24-F4EC-4FF5-B33D-9496ADB31C98}"/>
            </a:ext>
          </a:extLst>
        </xdr:cNvPr>
        <xdr:cNvSpPr txBox="1">
          <a:spLocks noChangeArrowheads="1"/>
        </xdr:cNvSpPr>
      </xdr:nvSpPr>
      <xdr:spPr bwMode="auto">
        <a:xfrm>
          <a:off x="1590675" y="8572500"/>
          <a:ext cx="0" cy="6353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49</xdr:row>
      <xdr:rowOff>0</xdr:rowOff>
    </xdr:from>
    <xdr:ext cx="0" cy="634372"/>
    <xdr:sp macro="" textlink="">
      <xdr:nvSpPr>
        <xdr:cNvPr id="14" name="Text Box 1">
          <a:extLst>
            <a:ext uri="{FF2B5EF4-FFF2-40B4-BE49-F238E27FC236}">
              <a16:creationId xmlns:a16="http://schemas.microsoft.com/office/drawing/2014/main" id="{D9E58283-3A6D-4801-8B80-25F109A5C10F}"/>
            </a:ext>
          </a:extLst>
        </xdr:cNvPr>
        <xdr:cNvSpPr txBox="1">
          <a:spLocks noChangeArrowheads="1"/>
        </xdr:cNvSpPr>
      </xdr:nvSpPr>
      <xdr:spPr bwMode="auto">
        <a:xfrm>
          <a:off x="1590675" y="8572500"/>
          <a:ext cx="0" cy="6343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49</xdr:row>
      <xdr:rowOff>0</xdr:rowOff>
    </xdr:from>
    <xdr:ext cx="0" cy="634372"/>
    <xdr:sp macro="" textlink="">
      <xdr:nvSpPr>
        <xdr:cNvPr id="15" name="Text Box 2">
          <a:extLst>
            <a:ext uri="{FF2B5EF4-FFF2-40B4-BE49-F238E27FC236}">
              <a16:creationId xmlns:a16="http://schemas.microsoft.com/office/drawing/2014/main" id="{B48A95B8-998F-4A79-8584-EE6383474AA0}"/>
            </a:ext>
          </a:extLst>
        </xdr:cNvPr>
        <xdr:cNvSpPr txBox="1">
          <a:spLocks noChangeArrowheads="1"/>
        </xdr:cNvSpPr>
      </xdr:nvSpPr>
      <xdr:spPr bwMode="auto">
        <a:xfrm>
          <a:off x="1590675" y="8572500"/>
          <a:ext cx="0" cy="6343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49</xdr:row>
      <xdr:rowOff>0</xdr:rowOff>
    </xdr:from>
    <xdr:ext cx="0" cy="593612"/>
    <xdr:sp macro="" textlink="">
      <xdr:nvSpPr>
        <xdr:cNvPr id="16" name="Text Box 2">
          <a:extLst>
            <a:ext uri="{FF2B5EF4-FFF2-40B4-BE49-F238E27FC236}">
              <a16:creationId xmlns:a16="http://schemas.microsoft.com/office/drawing/2014/main" id="{8E666130-E537-442F-9395-6FA8DD1BF311}"/>
            </a:ext>
          </a:extLst>
        </xdr:cNvPr>
        <xdr:cNvSpPr txBox="1">
          <a:spLocks noChangeArrowheads="1"/>
        </xdr:cNvSpPr>
      </xdr:nvSpPr>
      <xdr:spPr bwMode="auto">
        <a:xfrm>
          <a:off x="1590675" y="8572500"/>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49</xdr:row>
      <xdr:rowOff>0</xdr:rowOff>
    </xdr:from>
    <xdr:ext cx="0" cy="602116"/>
    <xdr:sp macro="" textlink="">
      <xdr:nvSpPr>
        <xdr:cNvPr id="17" name="Text Box 1">
          <a:extLst>
            <a:ext uri="{FF2B5EF4-FFF2-40B4-BE49-F238E27FC236}">
              <a16:creationId xmlns:a16="http://schemas.microsoft.com/office/drawing/2014/main" id="{DA4109A2-467D-43C5-AB36-9F4DA0ED4E5C}"/>
            </a:ext>
          </a:extLst>
        </xdr:cNvPr>
        <xdr:cNvSpPr txBox="1">
          <a:spLocks noChangeArrowheads="1"/>
        </xdr:cNvSpPr>
      </xdr:nvSpPr>
      <xdr:spPr bwMode="auto">
        <a:xfrm>
          <a:off x="1590675" y="8572500"/>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49</xdr:row>
      <xdr:rowOff>0</xdr:rowOff>
    </xdr:from>
    <xdr:ext cx="0" cy="602116"/>
    <xdr:sp macro="" textlink="">
      <xdr:nvSpPr>
        <xdr:cNvPr id="18" name="Text Box 2">
          <a:extLst>
            <a:ext uri="{FF2B5EF4-FFF2-40B4-BE49-F238E27FC236}">
              <a16:creationId xmlns:a16="http://schemas.microsoft.com/office/drawing/2014/main" id="{8FA0016E-8C33-459A-8C5E-CAC26B219ED4}"/>
            </a:ext>
          </a:extLst>
        </xdr:cNvPr>
        <xdr:cNvSpPr txBox="1">
          <a:spLocks noChangeArrowheads="1"/>
        </xdr:cNvSpPr>
      </xdr:nvSpPr>
      <xdr:spPr bwMode="auto">
        <a:xfrm>
          <a:off x="1590675" y="8572500"/>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63</xdr:row>
      <xdr:rowOff>0</xdr:rowOff>
    </xdr:from>
    <xdr:ext cx="0" cy="593612"/>
    <xdr:sp macro="" textlink="">
      <xdr:nvSpPr>
        <xdr:cNvPr id="19" name="Text Box 2">
          <a:extLst>
            <a:ext uri="{FF2B5EF4-FFF2-40B4-BE49-F238E27FC236}">
              <a16:creationId xmlns:a16="http://schemas.microsoft.com/office/drawing/2014/main" id="{B18DD5F8-2ADB-4F32-93BC-ED8B4B015754}"/>
            </a:ext>
          </a:extLst>
        </xdr:cNvPr>
        <xdr:cNvSpPr txBox="1">
          <a:spLocks noChangeArrowheads="1"/>
        </xdr:cNvSpPr>
      </xdr:nvSpPr>
      <xdr:spPr bwMode="auto">
        <a:xfrm>
          <a:off x="1590675" y="9048750"/>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63</xdr:row>
      <xdr:rowOff>0</xdr:rowOff>
    </xdr:from>
    <xdr:ext cx="0" cy="602116"/>
    <xdr:sp macro="" textlink="">
      <xdr:nvSpPr>
        <xdr:cNvPr id="20" name="Text Box 1">
          <a:extLst>
            <a:ext uri="{FF2B5EF4-FFF2-40B4-BE49-F238E27FC236}">
              <a16:creationId xmlns:a16="http://schemas.microsoft.com/office/drawing/2014/main" id="{2B8CE32C-F7F2-46BD-8D95-DF83630CB79A}"/>
            </a:ext>
          </a:extLst>
        </xdr:cNvPr>
        <xdr:cNvSpPr txBox="1">
          <a:spLocks noChangeArrowheads="1"/>
        </xdr:cNvSpPr>
      </xdr:nvSpPr>
      <xdr:spPr bwMode="auto">
        <a:xfrm>
          <a:off x="1590675" y="9048750"/>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63</xdr:row>
      <xdr:rowOff>0</xdr:rowOff>
    </xdr:from>
    <xdr:ext cx="0" cy="602116"/>
    <xdr:sp macro="" textlink="">
      <xdr:nvSpPr>
        <xdr:cNvPr id="21" name="Text Box 2">
          <a:extLst>
            <a:ext uri="{FF2B5EF4-FFF2-40B4-BE49-F238E27FC236}">
              <a16:creationId xmlns:a16="http://schemas.microsoft.com/office/drawing/2014/main" id="{62C84C4C-9BCC-496F-9A24-C51AF5864BB4}"/>
            </a:ext>
          </a:extLst>
        </xdr:cNvPr>
        <xdr:cNvSpPr txBox="1">
          <a:spLocks noChangeArrowheads="1"/>
        </xdr:cNvSpPr>
      </xdr:nvSpPr>
      <xdr:spPr bwMode="auto">
        <a:xfrm>
          <a:off x="1590675" y="9048750"/>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xdr:row>
      <xdr:rowOff>0</xdr:rowOff>
    </xdr:from>
    <xdr:ext cx="0" cy="593612"/>
    <xdr:sp macro="" textlink="">
      <xdr:nvSpPr>
        <xdr:cNvPr id="22" name="Text Box 2">
          <a:extLst>
            <a:ext uri="{FF2B5EF4-FFF2-40B4-BE49-F238E27FC236}">
              <a16:creationId xmlns:a16="http://schemas.microsoft.com/office/drawing/2014/main" id="{5EEBF1D6-06F0-4E96-9441-1FB5D09BBB6F}"/>
            </a:ext>
          </a:extLst>
        </xdr:cNvPr>
        <xdr:cNvSpPr txBox="1">
          <a:spLocks noChangeArrowheads="1"/>
        </xdr:cNvSpPr>
      </xdr:nvSpPr>
      <xdr:spPr bwMode="auto">
        <a:xfrm>
          <a:off x="1590675" y="1066800"/>
          <a:ext cx="0" cy="593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xdr:row>
      <xdr:rowOff>0</xdr:rowOff>
    </xdr:from>
    <xdr:ext cx="0" cy="602116"/>
    <xdr:sp macro="" textlink="">
      <xdr:nvSpPr>
        <xdr:cNvPr id="23" name="Text Box 1">
          <a:extLst>
            <a:ext uri="{FF2B5EF4-FFF2-40B4-BE49-F238E27FC236}">
              <a16:creationId xmlns:a16="http://schemas.microsoft.com/office/drawing/2014/main" id="{4F055BD7-9F0C-43C5-B773-4ED4EBC3D9F0}"/>
            </a:ext>
          </a:extLst>
        </xdr:cNvPr>
        <xdr:cNvSpPr txBox="1">
          <a:spLocks noChangeArrowheads="1"/>
        </xdr:cNvSpPr>
      </xdr:nvSpPr>
      <xdr:spPr bwMode="auto">
        <a:xfrm>
          <a:off x="1590675" y="1066800"/>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5</xdr:row>
      <xdr:rowOff>0</xdr:rowOff>
    </xdr:from>
    <xdr:ext cx="0" cy="602116"/>
    <xdr:sp macro="" textlink="">
      <xdr:nvSpPr>
        <xdr:cNvPr id="24" name="Text Box 2">
          <a:extLst>
            <a:ext uri="{FF2B5EF4-FFF2-40B4-BE49-F238E27FC236}">
              <a16:creationId xmlns:a16="http://schemas.microsoft.com/office/drawing/2014/main" id="{BEAFEE84-3E84-48A6-849D-E6C6BAAC274B}"/>
            </a:ext>
          </a:extLst>
        </xdr:cNvPr>
        <xdr:cNvSpPr txBox="1">
          <a:spLocks noChangeArrowheads="1"/>
        </xdr:cNvSpPr>
      </xdr:nvSpPr>
      <xdr:spPr bwMode="auto">
        <a:xfrm>
          <a:off x="1590675" y="1066800"/>
          <a:ext cx="0" cy="6021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luu%20DROXBOX/Dropbox/file%20o%20nha/VI%20AN/Nam%202025/1.%20Giao,%20dieu%20chinh%20KHV%202025/KHV%20NSDP%202025/1.%20Giao%20dau%20nam/3.1.%20PL%20KHV%20NSDP%20nam%202025%20%20kem%20QD%20UBND%20tin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258;M%202025\T&#224;i%20li&#7879;u%20danh%20m&#7909;c%20c&#7911;a%20huy&#7879;n%20r&#224;%20so&#225;t%20chuy&#7875;n%20v&#7873;%20t&#7881;nh\So&#225;t%20l&#7841;i\R&#224;%20so&#225;t%20huy&#7879;n\Ho&#224;n%20thi&#7879;n\2.2%20PL%20KHV%20HUYEN%20CHUYEN%20VE%20TINH%20(&#272;&#244;ng%20qu&#7843;ng%20ng&#227;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uu%20DROXBOX/Dropbox/file%20o%20nha/VI%20AN/00-Xay%20dung%20trung%20han%20NSDP%2021-25/02-Dieu%20chinh%20trung%20han%20T9.2024/3.%20Hoan%20thien%20PA%20sau%20hop%20UB/3.2.%20PL%20kem%20TTr%20UBND%20tinh%20dieu%20chinh%20trung%20han%20NSDP%202021-202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Admin/AppData/Local/Temp/Rar$DIa11232.19248/Danh%20muc%20du%20an%20dau%20tu%20cong%20nam%202026%20-%20Kem%20theo%20Ke%20hoach%20dau%20tu%20cong%20nam%20202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HP/Documents/Zalo%20Received%20Files/BI&#7874;U%20M&#7850;U%20NHU%20C&#7846;U%20TRUNG%20H&#7840;N%202026%20-%2020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ngatang"/>
      <sheetName val="dieu chinh trung hạn"/>
      <sheetName val="PB2-DU KIEN TIEN DAT 2025"/>
      <sheetName val="PB3-20% CHUYEN TIEP 2026-2030"/>
      <sheetName val="PB1-DU KIEN NGUON 16-8"/>
      <sheetName val="PL TongHop 2025"/>
      <sheetName val="PL TongHOp 21-25"/>
      <sheetName val="PL8-KCM du kien 24-25 (IN) (2)"/>
      <sheetName val="PB-Sự cần thiết đầu tư của KCM"/>
      <sheetName val="Đieu chinh khv 2021"/>
      <sheetName val="Đieu chinh khv 2022"/>
      <sheetName val="PL5 DOi Ung von DA NSTW (IN)2"/>
      <sheetName val="PL1 Phan cap (IN)"/>
      <sheetName val="PL2 Hoan ung (cũ)"/>
      <sheetName val="PL2 Quyet toan"/>
      <sheetName val="PL3 Doi ung ODA"/>
      <sheetName val="PL4 DOi Ung von DA NSTW (IN)"/>
      <sheetName val="PL5.1 chuyen tiep 16-20 (IN)"/>
      <sheetName val="PL7.2-DM bo sung moi"/>
      <sheetName val="PL5.2 KC từ 21-24 chuyển tiếp"/>
      <sheetName val="PL6- Khoi cong moi 2025"/>
      <sheetName val="PL6- Khoi cong moi 2025 (2)"/>
      <sheetName val="PL7 XSKT"/>
      <sheetName val="PL6 chuyen tiep 16-20 (IN) (2)"/>
      <sheetName val="KCM XDCB 24-25"/>
      <sheetName val="PL8 Thu SDĐ (soat)"/>
      <sheetName val="PL3 Doi ung ODA (thach)"/>
      <sheetName val="120 ty"/>
      <sheetName val="PL11-DM de xuat dung thuc hien"/>
      <sheetName val="ODA-cũ"/>
      <sheetName val="DANH MUC DE NGHI BO SUNG MOI"/>
      <sheetName val="PL TongHOp 21-25 (2)"/>
      <sheetName val="PL6 KCM XDCB in (soát)"/>
      <sheetName val="TH NSTW 21-25"/>
      <sheetName val="PL5 chuyen tiep (soát)"/>
      <sheetName val="PL7 XSKT in (soat)"/>
      <sheetName val="PL9 sắp xếp nha dat"/>
      <sheetName val="DA điều chỉnh thông tin"/>
      <sheetName val="Đổi nguồn"/>
      <sheetName val="Dự án DX mới"/>
      <sheetName val="CĐT đề xuất mới"/>
      <sheetName val="PL2-TH NSTW 21-25 (2)"/>
      <sheetName val="PL9.1 Bu Hut thu 2020"/>
      <sheetName val="PL15-KCM BS 23-24-25"/>
      <sheetName val="20% CHUYEN TIEP T9-2023"/>
      <sheetName val="PB3-Su can tiet dau tu KCM"/>
      <sheetName val="PB2-DU KIEN ĐẤT 24-25"/>
      <sheetName val="KHV 2020 kéo dài qđ1127"/>
      <sheetName val="KHV 2021 kéo dài qd369"/>
      <sheetName val="Sheet1"/>
    </sheetNames>
    <sheetDataSet>
      <sheetData sheetId="0"/>
      <sheetData sheetId="1"/>
      <sheetData sheetId="2"/>
      <sheetData sheetId="3"/>
      <sheetData sheetId="4"/>
      <sheetData sheetId="5"/>
      <sheetData sheetId="6"/>
      <sheetData sheetId="7"/>
      <sheetData sheetId="8"/>
      <sheetData sheetId="9">
        <row r="14">
          <cell r="AL14">
            <v>140000</v>
          </cell>
        </row>
      </sheetData>
      <sheetData sheetId="10">
        <row r="16">
          <cell r="R16">
            <v>161643</v>
          </cell>
        </row>
      </sheetData>
      <sheetData sheetId="11"/>
      <sheetData sheetId="12">
        <row r="12">
          <cell r="J12">
            <v>296999.84962639509</v>
          </cell>
          <cell r="K12">
            <v>320000</v>
          </cell>
          <cell r="L12">
            <v>310752</v>
          </cell>
          <cell r="M12">
            <v>440483</v>
          </cell>
          <cell r="N12">
            <v>468785.99999999994</v>
          </cell>
        </row>
      </sheetData>
      <sheetData sheetId="13"/>
      <sheetData sheetId="14"/>
      <sheetData sheetId="15"/>
      <sheetData sheetId="16">
        <row r="14">
          <cell r="CY14">
            <v>0</v>
          </cell>
          <cell r="DD14">
            <v>0</v>
          </cell>
          <cell r="DI14">
            <v>597607.80000000005</v>
          </cell>
          <cell r="DN14">
            <v>0</v>
          </cell>
          <cell r="ED14">
            <v>20000</v>
          </cell>
        </row>
        <row r="15">
          <cell r="CX15">
            <v>0</v>
          </cell>
          <cell r="DC15">
            <v>31000</v>
          </cell>
          <cell r="DH15">
            <v>168110</v>
          </cell>
          <cell r="DM15">
            <v>467900</v>
          </cell>
        </row>
        <row r="48">
          <cell r="CX48">
            <v>6000</v>
          </cell>
          <cell r="DC48">
            <v>0</v>
          </cell>
          <cell r="DH48">
            <v>20000</v>
          </cell>
          <cell r="DM48">
            <v>57500</v>
          </cell>
        </row>
      </sheetData>
      <sheetData sheetId="17">
        <row r="14">
          <cell r="CK14">
            <v>367742.14600000001</v>
          </cell>
          <cell r="CM14">
            <v>246974</v>
          </cell>
          <cell r="CO14">
            <v>302120.88199999998</v>
          </cell>
          <cell r="CP14">
            <v>422538.86699999997</v>
          </cell>
          <cell r="CR14">
            <v>159470.087</v>
          </cell>
          <cell r="CS14">
            <v>251043.20000000001</v>
          </cell>
          <cell r="CV14">
            <v>58571.199999999997</v>
          </cell>
          <cell r="CW14">
            <v>141159.93300000002</v>
          </cell>
          <cell r="DG14">
            <v>171840</v>
          </cell>
        </row>
      </sheetData>
      <sheetData sheetId="18"/>
      <sheetData sheetId="19">
        <row r="16">
          <cell r="BK16">
            <v>775160</v>
          </cell>
        </row>
      </sheetData>
      <sheetData sheetId="20"/>
      <sheetData sheetId="21"/>
      <sheetData sheetId="22">
        <row r="13">
          <cell r="CJ13">
            <v>38100</v>
          </cell>
          <cell r="CK13">
            <v>40000</v>
          </cell>
          <cell r="CL13">
            <v>40000</v>
          </cell>
          <cell r="CM13">
            <v>30000</v>
          </cell>
          <cell r="CN13">
            <v>84900</v>
          </cell>
        </row>
        <row r="22">
          <cell r="CJ22">
            <v>40000</v>
          </cell>
          <cell r="CK22">
            <v>5195.5109999999995</v>
          </cell>
          <cell r="CL22">
            <v>0</v>
          </cell>
          <cell r="CM22">
            <v>0</v>
          </cell>
          <cell r="CN22">
            <v>0</v>
          </cell>
        </row>
        <row r="28">
          <cell r="CJ28">
            <v>0</v>
          </cell>
          <cell r="CK28">
            <v>49804.489000000001</v>
          </cell>
          <cell r="CL28">
            <v>60000</v>
          </cell>
          <cell r="CN28">
            <v>40100</v>
          </cell>
        </row>
        <row r="29">
          <cell r="CM29">
            <v>69600</v>
          </cell>
        </row>
        <row r="49">
          <cell r="CJ49">
            <v>0</v>
          </cell>
          <cell r="CK49">
            <v>0</v>
          </cell>
          <cell r="CL49">
            <v>0</v>
          </cell>
          <cell r="CM49">
            <v>12400</v>
          </cell>
        </row>
      </sheetData>
      <sheetData sheetId="23"/>
      <sheetData sheetId="24"/>
      <sheetData sheetId="25"/>
      <sheetData sheetId="26"/>
      <sheetData sheetId="27"/>
      <sheetData sheetId="28"/>
      <sheetData sheetId="29">
        <row r="15">
          <cell r="R15">
            <v>25657.853999999999</v>
          </cell>
          <cell r="S15">
            <v>41234</v>
          </cell>
          <cell r="T15">
            <v>11292</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TH TRUNG HAN 21-25"/>
      <sheetName val="PL1.1-TTPT QUỸ ĐẤT TỈNH"/>
      <sheetName val="PLTH KH 2025"/>
      <sheetName val="PL2.1-KH2024 NST keo dai"/>
      <sheetName val="PLTH-HUYEN GIAO"/>
      <sheetName val="TH Đất"/>
      <sheetName val="1.1-BÌNH SƠN"/>
      <sheetName val="1.2-Sơn Tịnh"/>
      <sheetName val="1.3-TP QUẢNG NGÃI"/>
      <sheetName val="1.4-TƯ NGHĨA"/>
      <sheetName val="1.5-MỘ ĐỨC"/>
      <sheetName val="1.6-ĐỨC PHỔ"/>
      <sheetName val="1.7-NGHĨA HÀNH"/>
      <sheetName val="1.8-Minh Long"/>
      <sheetName val="1.9-BA TƠ"/>
      <sheetName val="1.10-SƠN HÀ"/>
      <sheetName val="1.11-Sơn Tây"/>
      <sheetName val="1.12-Trà Bồng"/>
    </sheetNames>
    <sheetDataSet>
      <sheetData sheetId="0"/>
      <sheetData sheetId="1">
        <row r="6">
          <cell r="A6" t="str">
            <v>(Kèm theo Công văn số 942/STC-THQH ngày 08 tháng 8 năm 2025 của Sở Tài chính)</v>
          </cell>
        </row>
      </sheetData>
      <sheetData sheetId="2"/>
      <sheetData sheetId="3"/>
      <sheetData sheetId="4">
        <row r="20">
          <cell r="BB20">
            <v>259295.47200000001</v>
          </cell>
          <cell r="BC20">
            <v>452792.78200000001</v>
          </cell>
          <cell r="BD20">
            <v>131903.76555799998</v>
          </cell>
        </row>
        <row r="21">
          <cell r="BB21">
            <v>47984.326868181823</v>
          </cell>
          <cell r="BC21">
            <v>24676.633000000002</v>
          </cell>
          <cell r="BD21">
            <v>6984.1239999999998</v>
          </cell>
        </row>
        <row r="22">
          <cell r="BB22">
            <v>159752.51699999999</v>
          </cell>
          <cell r="BC22">
            <v>43266.933349999992</v>
          </cell>
          <cell r="BD22">
            <v>13338.344000000001</v>
          </cell>
        </row>
        <row r="23">
          <cell r="BB23">
            <v>1753.660000000001</v>
          </cell>
          <cell r="BC23">
            <v>3000</v>
          </cell>
          <cell r="BD23">
            <v>0</v>
          </cell>
        </row>
        <row r="25">
          <cell r="BB25">
            <v>0</v>
          </cell>
          <cell r="BC25">
            <v>51718</v>
          </cell>
          <cell r="BD25">
            <v>7500</v>
          </cell>
        </row>
        <row r="26">
          <cell r="BB26">
            <v>216967.296</v>
          </cell>
          <cell r="BC26">
            <v>501185.08847699995</v>
          </cell>
          <cell r="BD26">
            <v>77302.445938000004</v>
          </cell>
        </row>
        <row r="27">
          <cell r="BB27">
            <v>16521.260999999999</v>
          </cell>
          <cell r="BC27">
            <v>27397.567000000003</v>
          </cell>
          <cell r="BD27">
            <v>9914.8469999999998</v>
          </cell>
        </row>
        <row r="28">
          <cell r="BB28">
            <v>1577.5457010000002</v>
          </cell>
          <cell r="BC28">
            <v>467226.15</v>
          </cell>
          <cell r="BD28">
            <v>200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ngatang"/>
      <sheetName val="dieu chinh trung hạn"/>
      <sheetName val="PB1-DU KIEN NGUON"/>
      <sheetName val="PB1-DU KIEN NGUON 1-8"/>
      <sheetName val="PB1-DU KIEN NGUON 6-8 (nhap)"/>
      <sheetName val="PB1-DU KIEN NGUON 6-8"/>
      <sheetName val="PL8-DM dung thuc hien"/>
      <sheetName val="PB1-DU KIEN NGUON 16-8"/>
      <sheetName val="PB2-DU KIEN TIEN DAT 2025"/>
      <sheetName val="PB3-20% CHUYEN TIEP 2026-2030"/>
      <sheetName val="PL TongHOp 21-25 (IN)"/>
      <sheetName val="PL TongHOp 21-25"/>
      <sheetName val="PL8-KCM du kien 24-25 (IN) (2)"/>
      <sheetName val="PB-Sự cần thiết đầu tư của KCM"/>
      <sheetName val="Đieu chinh khv 2021"/>
      <sheetName val="Đieu chinh khv 2022"/>
      <sheetName val="PL5 DOi Ung von DA NSTW (IN)2"/>
      <sheetName val="PL1 Phan cap (IN)"/>
      <sheetName val="PL2 Hoàn tra ung truoc (IN)"/>
      <sheetName val="PL2 Hoan ung (cũ)"/>
      <sheetName val="PL3 Doi ung ODA"/>
      <sheetName val="PL4 Quy hoạch (IN)"/>
      <sheetName val="PL5 DOi Ung von DA NSTW (IN)"/>
      <sheetName val="PL6 chuyen tiep 16-20 (IN)"/>
      <sheetName val="PL7- Khoi cong moi 21-25(IN)"/>
      <sheetName val="PL8 XSKT in (IN)"/>
      <sheetName val="PL9 sắp xếp nha dat (IN)"/>
      <sheetName val="PL6 chuyen tiep 16-20 (IN) (2)"/>
      <sheetName val="KCM XDCB 24-25"/>
      <sheetName val="PL8 Thu SDĐ (soat)"/>
      <sheetName val="PL3 Doi ung ODA (thach)"/>
      <sheetName val="120 ty"/>
      <sheetName val="PL10 Thu SDĐ (IN)"/>
      <sheetName val="PL11-DM de xuat dung thuc hien"/>
      <sheetName val="PL12-DM bo sung moi"/>
      <sheetName val="ODA-cũ"/>
      <sheetName val="DANH MUC DE NGHI BO SUNG MOI"/>
      <sheetName val="PL TongHOp 21-25 (2)"/>
      <sheetName val="PL6 KCM XDCB in (soát)"/>
      <sheetName val="TH NSTW 21-25"/>
      <sheetName val="PL5 chuyen tiep (soát)"/>
      <sheetName val="PL7 XSKT in (soat)"/>
      <sheetName val="PL9 sắp xếp nha dat"/>
      <sheetName val="DA điều chỉnh thông tin"/>
      <sheetName val="Đổi nguồn"/>
      <sheetName val="Dự án DX mới"/>
      <sheetName val="CĐT đề xuất mới"/>
      <sheetName val="PL2-TH NSTW 21-25 (2)"/>
      <sheetName val="PL13-Bu Hut thu 2020"/>
      <sheetName val="PL14 Quyet toan"/>
      <sheetName val="PL15-CBDT"/>
      <sheetName val="PL9.1 Bu Hut thu 2020"/>
      <sheetName val="PL15-KCM BS 23-24-25"/>
      <sheetName val="20% CHUYEN TIEP T9-2023"/>
      <sheetName val="PB3-Su can tiet dau tu KCM"/>
      <sheetName val="PB2-DU KIEN ĐẤT 24-25"/>
      <sheetName val="KHV 2020 kéo dài qđ1127"/>
      <sheetName val="KHV 2021 kéo dài qd369"/>
      <sheetName val="Sheet1"/>
    </sheetNames>
    <sheetDataSet>
      <sheetData sheetId="0"/>
      <sheetData sheetId="1"/>
      <sheetData sheetId="2">
        <row r="15">
          <cell r="M15">
            <v>832248</v>
          </cell>
        </row>
      </sheetData>
      <sheetData sheetId="3"/>
      <sheetData sheetId="4"/>
      <sheetData sheetId="5"/>
      <sheetData sheetId="6"/>
      <sheetData sheetId="7">
        <row r="11">
          <cell r="T11">
            <v>21144592.720049992</v>
          </cell>
        </row>
      </sheetData>
      <sheetData sheetId="8"/>
      <sheetData sheetId="9"/>
      <sheetData sheetId="10">
        <row r="4">
          <cell r="A4" t="str">
            <v>(Kèm theo Tờ trình số              /TTr-UBND ngày        /9/2024 của Ủy ban nhân dân tỉnh Quảng Ngãi)</v>
          </cell>
        </row>
        <row r="46">
          <cell r="AH46">
            <v>326471.53199998662</v>
          </cell>
        </row>
      </sheetData>
      <sheetData sheetId="11"/>
      <sheetData sheetId="12"/>
      <sheetData sheetId="13"/>
      <sheetData sheetId="14"/>
      <sheetData sheetId="15"/>
      <sheetData sheetId="16"/>
      <sheetData sheetId="17"/>
      <sheetData sheetId="18"/>
      <sheetData sheetId="19"/>
      <sheetData sheetId="20"/>
      <sheetData sheetId="21"/>
      <sheetData sheetId="22">
        <row r="27">
          <cell r="CY27">
            <v>10000</v>
          </cell>
        </row>
        <row r="29">
          <cell r="CZ29">
            <v>861000</v>
          </cell>
        </row>
      </sheetData>
      <sheetData sheetId="23">
        <row r="14">
          <cell r="EA14">
            <v>587896</v>
          </cell>
        </row>
      </sheetData>
      <sheetData sheetId="24">
        <row r="16">
          <cell r="CI16">
            <v>1329109.9999999977</v>
          </cell>
        </row>
        <row r="27">
          <cell r="AK27">
            <v>5000</v>
          </cell>
          <cell r="AL27">
            <v>0</v>
          </cell>
          <cell r="AM27">
            <v>27000</v>
          </cell>
        </row>
        <row r="43">
          <cell r="AK43">
            <v>30000</v>
          </cell>
          <cell r="AL43">
            <v>0</v>
          </cell>
          <cell r="AM43">
            <v>120000</v>
          </cell>
        </row>
        <row r="44">
          <cell r="AK44">
            <v>20000</v>
          </cell>
          <cell r="AM44">
            <v>80000</v>
          </cell>
        </row>
        <row r="58">
          <cell r="AK58">
            <v>15000</v>
          </cell>
          <cell r="AL58">
            <v>0</v>
          </cell>
          <cell r="AM58">
            <v>10000</v>
          </cell>
        </row>
        <row r="62">
          <cell r="AK62">
            <v>50000</v>
          </cell>
          <cell r="AL62">
            <v>0</v>
          </cell>
          <cell r="AM62">
            <v>250000</v>
          </cell>
        </row>
        <row r="114">
          <cell r="AK114">
            <v>40000</v>
          </cell>
          <cell r="AL114">
            <v>0</v>
          </cell>
          <cell r="AM114">
            <v>0</v>
          </cell>
        </row>
        <row r="141">
          <cell r="AK141">
            <v>0</v>
          </cell>
          <cell r="AL141">
            <v>0</v>
          </cell>
          <cell r="AM141">
            <v>7000</v>
          </cell>
        </row>
        <row r="142">
          <cell r="AK142">
            <v>8000</v>
          </cell>
          <cell r="AL142">
            <v>0</v>
          </cell>
          <cell r="AM142">
            <v>0</v>
          </cell>
        </row>
        <row r="172">
          <cell r="AK172">
            <v>0</v>
          </cell>
          <cell r="AL172">
            <v>0</v>
          </cell>
          <cell r="AM172">
            <v>15000</v>
          </cell>
        </row>
        <row r="189">
          <cell r="AK189">
            <v>15000</v>
          </cell>
          <cell r="AL189">
            <v>0</v>
          </cell>
          <cell r="AM189">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1 TH"/>
      <sheetName val="B02a NSDP (N)"/>
      <sheetName val="B03 Thu de lai"/>
      <sheetName val="B04 NSTW"/>
      <sheetName val="B05 Du phong NSTW"/>
      <sheetName val="B08 TH 26-30"/>
      <sheetName val="B09 NSDP 26-30"/>
      <sheetName val="B10 Thu de lai 26-30"/>
      <sheetName val="B11 NSTW trong nuoc 26-30"/>
      <sheetName val="Bảng TH các dự án GĐ 26-2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3">
          <cell r="U13">
            <v>167199.11300000001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row r="16">
          <cell r="J16">
            <v>6384000</v>
          </cell>
        </row>
        <row r="17">
          <cell r="J17">
            <v>1660000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3"/>
  <sheetViews>
    <sheetView zoomScale="70" zoomScaleNormal="70" workbookViewId="0">
      <selection activeCell="V7" sqref="V7:V8"/>
    </sheetView>
  </sheetViews>
  <sheetFormatPr defaultColWidth="9.109375" defaultRowHeight="14.4" outlineLevelRow="1" outlineLevelCol="1"/>
  <cols>
    <col min="1" max="1" width="5.6640625" style="2" customWidth="1"/>
    <col min="2" max="2" width="43.5546875" style="2" customWidth="1"/>
    <col min="3" max="3" width="16.44140625" style="2" hidden="1" customWidth="1"/>
    <col min="4" max="4" width="14.44140625" style="2" hidden="1" customWidth="1" outlineLevel="1"/>
    <col min="5" max="5" width="14.44140625" style="2" hidden="1" customWidth="1" collapsed="1"/>
    <col min="6" max="8" width="11.88671875" style="2" hidden="1" customWidth="1" outlineLevel="1"/>
    <col min="9" max="9" width="6" style="2" hidden="1" customWidth="1" outlineLevel="1"/>
    <col min="10" max="10" width="16" style="2" hidden="1" customWidth="1" collapsed="1"/>
    <col min="11" max="11" width="14.5546875" style="2" hidden="1" customWidth="1" outlineLevel="1"/>
    <col min="12" max="12" width="12" style="2" hidden="1" customWidth="1" outlineLevel="1"/>
    <col min="13" max="13" width="11.5546875" style="2" hidden="1" customWidth="1" outlineLevel="1"/>
    <col min="14" max="14" width="13.109375" style="2" hidden="1" customWidth="1" collapsed="1"/>
    <col min="15" max="16" width="13.6640625" style="2" hidden="1" customWidth="1"/>
    <col min="17" max="17" width="10.44140625" style="2" hidden="1" customWidth="1"/>
    <col min="18" max="18" width="8.88671875" style="2" hidden="1" customWidth="1"/>
    <col min="19" max="19" width="21.5546875" style="593" hidden="1" customWidth="1"/>
    <col min="20" max="20" width="13" style="2" hidden="1" customWidth="1"/>
    <col min="21" max="21" width="12.33203125" style="2" hidden="1" customWidth="1"/>
    <col min="22" max="22" width="13.88671875" style="2" customWidth="1"/>
    <col min="23" max="23" width="13" style="2" customWidth="1"/>
    <col min="24" max="24" width="14.88671875" style="2" customWidth="1"/>
    <col min="25" max="25" width="12.5546875" style="2" customWidth="1"/>
    <col min="26" max="26" width="12.44140625" style="2" customWidth="1"/>
    <col min="27" max="27" width="12.6640625" style="593" customWidth="1"/>
    <col min="28" max="28" width="12.6640625" style="2" customWidth="1"/>
    <col min="29" max="29" width="13.6640625" style="2" customWidth="1"/>
    <col min="30" max="30" width="12.109375" style="2" customWidth="1"/>
    <col min="31" max="31" width="27.44140625" style="5" hidden="1" customWidth="1" outlineLevel="1"/>
    <col min="32" max="32" width="16.44140625" style="5" hidden="1" customWidth="1" outlineLevel="1"/>
    <col min="33" max="33" width="16.88671875" style="2" hidden="1" customWidth="1" outlineLevel="1" collapsed="1"/>
    <col min="34" max="34" width="18.109375" style="2" hidden="1" customWidth="1" outlineLevel="1"/>
    <col min="35" max="35" width="10.44140625" style="2" hidden="1" customWidth="1" collapsed="1"/>
    <col min="36" max="36" width="10.44140625" style="2" hidden="1" customWidth="1"/>
    <col min="37" max="39" width="9.109375" style="2" hidden="1" customWidth="1"/>
  </cols>
  <sheetData>
    <row r="1" spans="1:39" ht="21">
      <c r="A1" s="865" t="s">
        <v>1888</v>
      </c>
      <c r="B1" s="865"/>
      <c r="C1" s="865"/>
      <c r="D1" s="865"/>
      <c r="E1" s="865"/>
      <c r="F1" s="865"/>
      <c r="G1" s="865"/>
      <c r="H1" s="865"/>
      <c r="I1" s="865"/>
      <c r="J1" s="865"/>
      <c r="K1" s="865"/>
      <c r="L1" s="865"/>
      <c r="M1" s="865"/>
      <c r="N1" s="865"/>
      <c r="O1" s="865"/>
      <c r="P1" s="865"/>
      <c r="Q1" s="865"/>
      <c r="R1" s="865"/>
      <c r="S1" s="865"/>
      <c r="T1" s="865"/>
      <c r="U1" s="865"/>
      <c r="V1" s="865"/>
      <c r="W1" s="865"/>
      <c r="X1" s="865"/>
      <c r="Y1" s="865"/>
      <c r="Z1" s="865"/>
      <c r="AA1" s="865"/>
      <c r="AB1" s="865"/>
      <c r="AC1" s="865"/>
      <c r="AD1" s="865"/>
      <c r="AE1" s="464" t="s">
        <v>1779</v>
      </c>
      <c r="AF1" s="465" t="e">
        <f>AF2+#REF!+AF3</f>
        <v>#REF!</v>
      </c>
      <c r="AG1" s="464" t="s">
        <v>1780</v>
      </c>
      <c r="AH1" s="466" t="e">
        <f>AF1-K21</f>
        <v>#REF!</v>
      </c>
      <c r="AI1" s="1"/>
      <c r="AJ1" s="1"/>
      <c r="AK1" s="1"/>
      <c r="AL1" s="1"/>
      <c r="AM1" s="1"/>
    </row>
    <row r="2" spans="1:39" ht="39.75" customHeight="1">
      <c r="A2" s="866" t="s">
        <v>1855</v>
      </c>
      <c r="B2" s="865"/>
      <c r="C2" s="865"/>
      <c r="D2" s="865"/>
      <c r="E2" s="865"/>
      <c r="F2" s="865"/>
      <c r="G2" s="865"/>
      <c r="H2" s="865"/>
      <c r="I2" s="865"/>
      <c r="J2" s="865"/>
      <c r="K2" s="865"/>
      <c r="L2" s="865"/>
      <c r="M2" s="865"/>
      <c r="N2" s="865"/>
      <c r="O2" s="865"/>
      <c r="P2" s="865"/>
      <c r="Q2" s="865"/>
      <c r="R2" s="865"/>
      <c r="S2" s="865"/>
      <c r="T2" s="865"/>
      <c r="U2" s="865"/>
      <c r="V2" s="865"/>
      <c r="W2" s="865"/>
      <c r="X2" s="865"/>
      <c r="Y2" s="865"/>
      <c r="Z2" s="865"/>
      <c r="AA2" s="865"/>
      <c r="AB2" s="865"/>
      <c r="AC2" s="865"/>
      <c r="AD2" s="865"/>
      <c r="AE2" s="467" t="s">
        <v>26</v>
      </c>
      <c r="AF2" s="468">
        <f>2383930</f>
        <v>2383930</v>
      </c>
      <c r="AG2" s="469">
        <f>AF2-K22</f>
        <v>0</v>
      </c>
      <c r="AH2" s="1"/>
      <c r="AI2" s="1"/>
      <c r="AJ2" s="1"/>
      <c r="AK2" s="1"/>
      <c r="AL2" s="1"/>
      <c r="AM2" s="1"/>
    </row>
    <row r="3" spans="1:39" ht="19.2" customHeight="1">
      <c r="A3" s="867" t="s">
        <v>1887</v>
      </c>
      <c r="B3" s="867"/>
      <c r="C3" s="867"/>
      <c r="D3" s="867"/>
      <c r="E3" s="867"/>
      <c r="F3" s="867"/>
      <c r="G3" s="867"/>
      <c r="H3" s="867"/>
      <c r="I3" s="867"/>
      <c r="J3" s="867"/>
      <c r="K3" s="867"/>
      <c r="L3" s="867"/>
      <c r="M3" s="867"/>
      <c r="N3" s="867"/>
      <c r="O3" s="867"/>
      <c r="P3" s="867"/>
      <c r="Q3" s="867"/>
      <c r="R3" s="867"/>
      <c r="S3" s="867"/>
      <c r="T3" s="867"/>
      <c r="U3" s="867"/>
      <c r="V3" s="867"/>
      <c r="W3" s="867"/>
      <c r="X3" s="867"/>
      <c r="Y3" s="867"/>
      <c r="Z3" s="867"/>
      <c r="AA3" s="867"/>
      <c r="AB3" s="867"/>
      <c r="AC3" s="867"/>
      <c r="AD3" s="867"/>
      <c r="AE3" s="467" t="s">
        <v>31</v>
      </c>
      <c r="AF3" s="468">
        <f>1600000-58000</f>
        <v>1542000</v>
      </c>
      <c r="AG3" s="469">
        <f>AF3-K50</f>
        <v>0</v>
      </c>
      <c r="AH3" s="1"/>
      <c r="AI3" s="1"/>
      <c r="AJ3" s="1"/>
      <c r="AK3" s="1"/>
      <c r="AL3" s="1"/>
      <c r="AM3" s="1"/>
    </row>
    <row r="4" spans="1:39" ht="22.65" hidden="1" customHeight="1">
      <c r="A4" s="470"/>
      <c r="B4" s="470"/>
      <c r="C4" s="470"/>
      <c r="D4" s="470"/>
      <c r="E4" s="470"/>
      <c r="F4" s="471"/>
      <c r="G4" s="471"/>
      <c r="H4" s="471"/>
      <c r="I4" s="471"/>
      <c r="J4" s="471"/>
      <c r="K4" s="471"/>
      <c r="L4" s="471"/>
      <c r="M4" s="471"/>
      <c r="N4" s="471"/>
      <c r="O4" s="471"/>
      <c r="P4" s="471"/>
      <c r="Q4" s="471"/>
      <c r="R4" s="471"/>
      <c r="S4" s="472"/>
      <c r="T4" s="471"/>
      <c r="U4" s="471"/>
      <c r="V4" s="471"/>
      <c r="W4" s="471"/>
      <c r="X4" s="471"/>
      <c r="Y4" s="471"/>
      <c r="Z4" s="471"/>
      <c r="AA4" s="472"/>
      <c r="AB4" s="471"/>
      <c r="AC4" s="471"/>
      <c r="AD4" s="470"/>
      <c r="AE4" s="467"/>
      <c r="AF4" s="468"/>
      <c r="AG4" s="469"/>
    </row>
    <row r="5" spans="1:39" ht="27.6" customHeight="1">
      <c r="A5" s="473"/>
      <c r="B5" s="868" t="s">
        <v>388</v>
      </c>
      <c r="C5" s="868"/>
      <c r="D5" s="868"/>
      <c r="E5" s="868"/>
      <c r="F5" s="868"/>
      <c r="G5" s="868"/>
      <c r="H5" s="868"/>
      <c r="I5" s="868"/>
      <c r="J5" s="868"/>
      <c r="K5" s="868"/>
      <c r="L5" s="868"/>
      <c r="M5" s="868"/>
      <c r="N5" s="868"/>
      <c r="O5" s="868"/>
      <c r="P5" s="868"/>
      <c r="Q5" s="868"/>
      <c r="R5" s="868"/>
      <c r="S5" s="868"/>
      <c r="T5" s="868"/>
      <c r="U5" s="868"/>
      <c r="V5" s="868"/>
      <c r="W5" s="868"/>
      <c r="X5" s="868"/>
      <c r="Y5" s="868"/>
      <c r="Z5" s="868"/>
      <c r="AA5" s="868"/>
      <c r="AB5" s="868"/>
      <c r="AC5" s="868"/>
      <c r="AD5" s="868"/>
      <c r="AE5" s="474"/>
      <c r="AF5" s="474">
        <v>58000</v>
      </c>
      <c r="AG5" s="475">
        <f>AF2+AF3</f>
        <v>3925930</v>
      </c>
      <c r="AH5" s="3" t="e">
        <f>K21-#REF!</f>
        <v>#REF!</v>
      </c>
    </row>
    <row r="6" spans="1:39" ht="31.95" customHeight="1">
      <c r="A6" s="869" t="s">
        <v>403</v>
      </c>
      <c r="B6" s="869" t="s">
        <v>2</v>
      </c>
      <c r="C6" s="476"/>
      <c r="D6" s="476"/>
      <c r="E6" s="476"/>
      <c r="F6" s="476"/>
      <c r="G6" s="476"/>
      <c r="H6" s="476"/>
      <c r="I6" s="476"/>
      <c r="J6" s="870" t="s">
        <v>1781</v>
      </c>
      <c r="K6" s="477"/>
      <c r="L6" s="477"/>
      <c r="M6" s="477"/>
      <c r="N6" s="477"/>
      <c r="O6" s="478"/>
      <c r="P6" s="873" t="s">
        <v>1782</v>
      </c>
      <c r="Q6" s="876" t="s">
        <v>23</v>
      </c>
      <c r="R6" s="877"/>
      <c r="S6" s="479" t="s">
        <v>1783</v>
      </c>
      <c r="T6" s="878" t="s">
        <v>15</v>
      </c>
      <c r="U6" s="879"/>
      <c r="V6" s="876" t="s">
        <v>1784</v>
      </c>
      <c r="W6" s="882"/>
      <c r="X6" s="882"/>
      <c r="Y6" s="882"/>
      <c r="Z6" s="882"/>
      <c r="AA6" s="882"/>
      <c r="AB6" s="877"/>
      <c r="AC6" s="873" t="s">
        <v>1667</v>
      </c>
      <c r="AD6" s="883" t="s">
        <v>16</v>
      </c>
      <c r="AE6" s="480"/>
      <c r="AF6" s="480"/>
      <c r="AG6" s="481" t="e">
        <f>#REF!+#REF!</f>
        <v>#REF!</v>
      </c>
      <c r="AH6" s="482"/>
      <c r="AI6" s="467"/>
      <c r="AJ6" s="467"/>
      <c r="AK6" s="467"/>
      <c r="AL6" s="467"/>
      <c r="AM6" s="467"/>
    </row>
    <row r="7" spans="1:39" ht="41.25" customHeight="1">
      <c r="A7" s="869"/>
      <c r="B7" s="869"/>
      <c r="C7" s="476"/>
      <c r="D7" s="476"/>
      <c r="E7" s="476"/>
      <c r="F7" s="476"/>
      <c r="G7" s="476"/>
      <c r="H7" s="476"/>
      <c r="I7" s="476"/>
      <c r="J7" s="871"/>
      <c r="K7" s="483"/>
      <c r="L7" s="477"/>
      <c r="M7" s="477"/>
      <c r="N7" s="477"/>
      <c r="O7" s="478"/>
      <c r="P7" s="874"/>
      <c r="Q7" s="484"/>
      <c r="R7" s="485"/>
      <c r="S7" s="486"/>
      <c r="T7" s="487"/>
      <c r="U7" s="488"/>
      <c r="V7" s="874" t="s">
        <v>1785</v>
      </c>
      <c r="W7" s="873" t="s">
        <v>1786</v>
      </c>
      <c r="X7" s="872" t="s">
        <v>1787</v>
      </c>
      <c r="Y7" s="884"/>
      <c r="Z7" s="885"/>
      <c r="AA7" s="872" t="s">
        <v>1788</v>
      </c>
      <c r="AB7" s="885"/>
      <c r="AC7" s="874"/>
      <c r="AD7" s="883"/>
      <c r="AE7" s="480"/>
      <c r="AF7" s="480"/>
      <c r="AG7" s="489"/>
      <c r="AH7" s="482"/>
      <c r="AI7" s="467"/>
      <c r="AJ7" s="467"/>
      <c r="AK7" s="467"/>
      <c r="AL7" s="467"/>
      <c r="AM7" s="467"/>
    </row>
    <row r="8" spans="1:39" ht="77.25" customHeight="1">
      <c r="A8" s="869"/>
      <c r="B8" s="869"/>
      <c r="C8" s="433"/>
      <c r="D8" s="433"/>
      <c r="E8" s="433"/>
      <c r="F8" s="490"/>
      <c r="G8" s="490"/>
      <c r="H8" s="490"/>
      <c r="I8" s="490"/>
      <c r="J8" s="872"/>
      <c r="K8" s="491"/>
      <c r="L8" s="433" t="s">
        <v>1789</v>
      </c>
      <c r="M8" s="433" t="s">
        <v>1790</v>
      </c>
      <c r="N8" s="433"/>
      <c r="O8" s="433"/>
      <c r="P8" s="875"/>
      <c r="Q8" s="491"/>
      <c r="R8" s="491"/>
      <c r="S8" s="492"/>
      <c r="T8" s="493"/>
      <c r="U8" s="485"/>
      <c r="V8" s="875"/>
      <c r="W8" s="875"/>
      <c r="X8" s="491" t="s">
        <v>1791</v>
      </c>
      <c r="Y8" s="491" t="s">
        <v>1792</v>
      </c>
      <c r="Z8" s="491" t="s">
        <v>1793</v>
      </c>
      <c r="AA8" s="491" t="s">
        <v>1791</v>
      </c>
      <c r="AB8" s="491" t="s">
        <v>1792</v>
      </c>
      <c r="AC8" s="875"/>
      <c r="AD8" s="883"/>
      <c r="AE8" s="487"/>
      <c r="AF8" s="487"/>
      <c r="AG8" s="494"/>
      <c r="AH8" s="495"/>
      <c r="AI8" s="482"/>
      <c r="AJ8" s="482"/>
      <c r="AK8" s="467"/>
      <c r="AL8" s="467"/>
      <c r="AM8" s="467"/>
    </row>
    <row r="9" spans="1:39" ht="16.5" customHeight="1">
      <c r="A9" s="424">
        <v>1</v>
      </c>
      <c r="B9" s="424">
        <v>2</v>
      </c>
      <c r="C9" s="424">
        <v>3</v>
      </c>
      <c r="D9" s="424">
        <v>4</v>
      </c>
      <c r="E9" s="424">
        <v>5</v>
      </c>
      <c r="F9" s="424">
        <v>6</v>
      </c>
      <c r="G9" s="424">
        <v>7</v>
      </c>
      <c r="H9" s="424">
        <v>8</v>
      </c>
      <c r="I9" s="424">
        <v>9</v>
      </c>
      <c r="J9" s="424">
        <v>10</v>
      </c>
      <c r="K9" s="424">
        <v>11</v>
      </c>
      <c r="L9" s="424">
        <v>12</v>
      </c>
      <c r="M9" s="424">
        <v>13</v>
      </c>
      <c r="N9" s="424">
        <v>14</v>
      </c>
      <c r="O9" s="424">
        <v>15</v>
      </c>
      <c r="P9" s="424">
        <v>16</v>
      </c>
      <c r="Q9" s="424">
        <v>17</v>
      </c>
      <c r="R9" s="424">
        <v>18</v>
      </c>
      <c r="S9" s="424">
        <v>19</v>
      </c>
      <c r="T9" s="424">
        <v>20</v>
      </c>
      <c r="U9" s="424">
        <v>21</v>
      </c>
      <c r="V9" s="424">
        <v>3</v>
      </c>
      <c r="W9" s="424">
        <v>4</v>
      </c>
      <c r="X9" s="424">
        <v>5</v>
      </c>
      <c r="Y9" s="424">
        <v>6</v>
      </c>
      <c r="Z9" s="424">
        <v>7</v>
      </c>
      <c r="AA9" s="424">
        <v>8</v>
      </c>
      <c r="AB9" s="424">
        <v>9</v>
      </c>
      <c r="AC9" s="424">
        <v>10</v>
      </c>
      <c r="AD9" s="424">
        <v>11</v>
      </c>
      <c r="AE9" s="487"/>
      <c r="AF9" s="487"/>
      <c r="AG9" s="496"/>
      <c r="AH9" s="496"/>
      <c r="AI9" s="497"/>
      <c r="AJ9" s="497"/>
      <c r="AK9" s="497"/>
      <c r="AL9" s="467"/>
      <c r="AM9" s="467"/>
    </row>
    <row r="10" spans="1:39" ht="25.5" customHeight="1">
      <c r="A10" s="256"/>
      <c r="B10" s="256" t="s">
        <v>1794</v>
      </c>
      <c r="C10" s="498"/>
      <c r="D10" s="498"/>
      <c r="E10" s="499"/>
      <c r="F10" s="500"/>
      <c r="G10" s="500"/>
      <c r="H10" s="500"/>
      <c r="I10" s="500"/>
      <c r="J10" s="501"/>
      <c r="K10" s="498"/>
      <c r="L10" s="498"/>
      <c r="M10" s="498"/>
      <c r="N10" s="498"/>
      <c r="O10" s="498"/>
      <c r="P10" s="498"/>
      <c r="Q10" s="498"/>
      <c r="R10" s="498"/>
      <c r="S10" s="502"/>
      <c r="T10" s="498"/>
      <c r="U10" s="498"/>
      <c r="V10" s="605">
        <f>V11+V21</f>
        <v>7866644.0208031824</v>
      </c>
      <c r="W10" s="605">
        <f>W11+W21</f>
        <v>10325377.020803183</v>
      </c>
      <c r="X10" s="605">
        <f>X11+X21</f>
        <v>3836164.3294166876</v>
      </c>
      <c r="Y10" s="503">
        <f>X10/V10</f>
        <v>0.48764941177864768</v>
      </c>
      <c r="Z10" s="503">
        <f>X10/W10</f>
        <v>0.3715277729508305</v>
      </c>
      <c r="AA10" s="605">
        <f>AA11+AA21</f>
        <v>7466281.8197630234</v>
      </c>
      <c r="AB10" s="503">
        <f>AA10/V10</f>
        <v>0.94910635335965254</v>
      </c>
      <c r="AC10" s="605">
        <f>AC11+AC21</f>
        <v>7199570</v>
      </c>
      <c r="AD10" s="504"/>
      <c r="AE10" s="487"/>
      <c r="AF10" s="487"/>
      <c r="AG10" s="496"/>
      <c r="AH10" s="496"/>
      <c r="AI10" s="497"/>
      <c r="AJ10" s="497"/>
      <c r="AK10" s="497"/>
      <c r="AL10" s="467"/>
      <c r="AM10" s="467"/>
    </row>
    <row r="11" spans="1:39" ht="28.5" customHeight="1">
      <c r="A11" s="599" t="s">
        <v>39</v>
      </c>
      <c r="B11" s="600" t="s">
        <v>1795</v>
      </c>
      <c r="C11" s="601"/>
      <c r="D11" s="601"/>
      <c r="E11" s="601"/>
      <c r="F11" s="601"/>
      <c r="G11" s="601"/>
      <c r="H11" s="601"/>
      <c r="I11" s="601"/>
      <c r="J11" s="602"/>
      <c r="K11" s="602"/>
      <c r="L11" s="602"/>
      <c r="M11" s="602"/>
      <c r="N11" s="602"/>
      <c r="O11" s="602"/>
      <c r="P11" s="602"/>
      <c r="Q11" s="602"/>
      <c r="R11" s="602"/>
      <c r="S11" s="603">
        <f>S12+S18</f>
        <v>2775624</v>
      </c>
      <c r="T11" s="602"/>
      <c r="U11" s="602"/>
      <c r="V11" s="606">
        <f>V12+V18</f>
        <v>2775624</v>
      </c>
      <c r="W11" s="606">
        <f>W12+W18</f>
        <v>2731911</v>
      </c>
      <c r="X11" s="606">
        <f>X12+X18</f>
        <v>1614853.713</v>
      </c>
      <c r="Y11" s="604">
        <f t="shared" ref="Y11:Y69" si="0">X11/V11</f>
        <v>0.5817984399183751</v>
      </c>
      <c r="Z11" s="604">
        <f t="shared" ref="Z11:Z69" si="1">X11/W11</f>
        <v>0.59110773118157944</v>
      </c>
      <c r="AA11" s="606">
        <f>AA12+AA18</f>
        <v>2636842.8000000003</v>
      </c>
      <c r="AB11" s="604">
        <f t="shared" ref="AB11:AB69" si="2">AA11/V11</f>
        <v>0.95000000000000007</v>
      </c>
      <c r="AC11" s="606">
        <f>AC12+AC18</f>
        <v>2612569</v>
      </c>
      <c r="AD11" s="602"/>
      <c r="AE11" s="510"/>
      <c r="AF11" s="511"/>
      <c r="AG11" s="467"/>
      <c r="AH11" s="467"/>
      <c r="AI11" s="467"/>
      <c r="AJ11" s="467"/>
      <c r="AK11" s="467"/>
      <c r="AL11" s="467"/>
      <c r="AM11" s="467"/>
    </row>
    <row r="12" spans="1:39" ht="32.25" customHeight="1">
      <c r="A12" s="505">
        <v>1</v>
      </c>
      <c r="B12" s="506" t="s">
        <v>1665</v>
      </c>
      <c r="C12" s="463"/>
      <c r="D12" s="463"/>
      <c r="E12" s="463"/>
      <c r="F12" s="463"/>
      <c r="G12" s="463"/>
      <c r="H12" s="463"/>
      <c r="I12" s="463"/>
      <c r="J12" s="507"/>
      <c r="K12" s="507"/>
      <c r="L12" s="507"/>
      <c r="M12" s="507"/>
      <c r="N12" s="507"/>
      <c r="O12" s="507"/>
      <c r="P12" s="507"/>
      <c r="Q12" s="507"/>
      <c r="R12" s="507"/>
      <c r="S12" s="508">
        <f>S14+S17</f>
        <v>2760314</v>
      </c>
      <c r="T12" s="507"/>
      <c r="U12" s="507"/>
      <c r="V12" s="607">
        <f>V14+V17</f>
        <v>2753996</v>
      </c>
      <c r="W12" s="607">
        <f>W14+W17</f>
        <v>2710283</v>
      </c>
      <c r="X12" s="607">
        <f>X14+X17</f>
        <v>1609653.713</v>
      </c>
      <c r="Y12" s="509">
        <f t="shared" si="0"/>
        <v>0.58447932132072811</v>
      </c>
      <c r="Z12" s="509">
        <f t="shared" si="1"/>
        <v>0.59390613932198222</v>
      </c>
      <c r="AA12" s="607">
        <f>AA14+AA17</f>
        <v>2616296.2000000002</v>
      </c>
      <c r="AB12" s="509">
        <f t="shared" si="2"/>
        <v>0.95000000000000007</v>
      </c>
      <c r="AC12" s="607">
        <f>AC14+AC17</f>
        <v>2537401</v>
      </c>
      <c r="AD12" s="507"/>
      <c r="AE12" s="510"/>
      <c r="AF12" s="511"/>
      <c r="AG12" s="467"/>
      <c r="AH12" s="467"/>
      <c r="AI12" s="467"/>
      <c r="AJ12" s="467"/>
      <c r="AK12" s="467"/>
      <c r="AL12" s="467"/>
      <c r="AM12" s="467"/>
    </row>
    <row r="13" spans="1:39" ht="23.25" customHeight="1">
      <c r="A13" s="280"/>
      <c r="B13" s="512" t="s">
        <v>15</v>
      </c>
      <c r="C13" s="513"/>
      <c r="D13" s="513"/>
      <c r="E13" s="514"/>
      <c r="F13" s="515"/>
      <c r="G13" s="515"/>
      <c r="H13" s="515"/>
      <c r="I13" s="515"/>
      <c r="J13" s="516"/>
      <c r="K13" s="513"/>
      <c r="L13" s="513"/>
      <c r="M13" s="513"/>
      <c r="N13" s="513"/>
      <c r="O13" s="513"/>
      <c r="P13" s="513"/>
      <c r="Q13" s="513"/>
      <c r="R13" s="513"/>
      <c r="S13" s="517"/>
      <c r="T13" s="513"/>
      <c r="U13" s="513"/>
      <c r="V13" s="608"/>
      <c r="W13" s="608"/>
      <c r="X13" s="608"/>
      <c r="Y13" s="518"/>
      <c r="Z13" s="518"/>
      <c r="AA13" s="608"/>
      <c r="AB13" s="518"/>
      <c r="AC13" s="608"/>
      <c r="AD13" s="513"/>
      <c r="AE13" s="487"/>
      <c r="AF13" s="487"/>
      <c r="AG13" s="496"/>
      <c r="AH13" s="496"/>
      <c r="AI13" s="497"/>
      <c r="AJ13" s="497"/>
      <c r="AK13" s="497"/>
      <c r="AL13" s="467"/>
      <c r="AM13" s="467"/>
    </row>
    <row r="14" spans="1:39" ht="32.25" customHeight="1">
      <c r="A14" s="519" t="s">
        <v>371</v>
      </c>
      <c r="B14" s="520" t="s">
        <v>1796</v>
      </c>
      <c r="C14" s="513"/>
      <c r="D14" s="513"/>
      <c r="E14" s="514"/>
      <c r="F14" s="515"/>
      <c r="G14" s="515"/>
      <c r="H14" s="515"/>
      <c r="I14" s="515"/>
      <c r="J14" s="516"/>
      <c r="K14" s="513"/>
      <c r="L14" s="513"/>
      <c r="M14" s="513"/>
      <c r="N14" s="513"/>
      <c r="O14" s="513"/>
      <c r="P14" s="513"/>
      <c r="Q14" s="513"/>
      <c r="R14" s="513"/>
      <c r="S14" s="517">
        <f>S15+S16</f>
        <v>1573866</v>
      </c>
      <c r="T14" s="513"/>
      <c r="U14" s="513"/>
      <c r="V14" s="608">
        <v>1573866</v>
      </c>
      <c r="W14" s="608">
        <v>1573866</v>
      </c>
      <c r="X14" s="608">
        <v>946986.71299999999</v>
      </c>
      <c r="Y14" s="518">
        <f t="shared" si="0"/>
        <v>0.60169462520951589</v>
      </c>
      <c r="Z14" s="518">
        <f t="shared" si="1"/>
        <v>0.60169462520951589</v>
      </c>
      <c r="AA14" s="608">
        <v>1495172.7</v>
      </c>
      <c r="AB14" s="518">
        <f t="shared" si="2"/>
        <v>0.95</v>
      </c>
      <c r="AC14" s="608">
        <f>AC15+AC16</f>
        <v>1600000</v>
      </c>
      <c r="AD14" s="513"/>
      <c r="AE14" s="487"/>
      <c r="AF14" s="487"/>
      <c r="AG14" s="496"/>
      <c r="AH14" s="496"/>
      <c r="AI14" s="497"/>
      <c r="AJ14" s="497"/>
      <c r="AK14" s="497"/>
      <c r="AL14" s="467"/>
      <c r="AM14" s="467"/>
    </row>
    <row r="15" spans="1:39" ht="42" customHeight="1">
      <c r="A15" s="521"/>
      <c r="B15" s="522" t="s">
        <v>1797</v>
      </c>
      <c r="C15" s="513"/>
      <c r="D15" s="513"/>
      <c r="E15" s="514"/>
      <c r="F15" s="515"/>
      <c r="G15" s="515"/>
      <c r="H15" s="515"/>
      <c r="I15" s="515"/>
      <c r="J15" s="516"/>
      <c r="K15" s="513"/>
      <c r="L15" s="513"/>
      <c r="M15" s="513"/>
      <c r="N15" s="513"/>
      <c r="O15" s="513"/>
      <c r="P15" s="513"/>
      <c r="Q15" s="513"/>
      <c r="R15" s="513"/>
      <c r="S15" s="517">
        <v>1401866</v>
      </c>
      <c r="T15" s="513"/>
      <c r="U15" s="513"/>
      <c r="V15" s="608">
        <v>1401866</v>
      </c>
      <c r="W15" s="608">
        <v>1401866</v>
      </c>
      <c r="X15" s="608">
        <v>849551.71299999999</v>
      </c>
      <c r="Y15" s="518">
        <f t="shared" si="0"/>
        <v>0.60601492082695496</v>
      </c>
      <c r="Z15" s="518">
        <f t="shared" si="1"/>
        <v>0.60601492082695496</v>
      </c>
      <c r="AA15" s="608">
        <v>1331772.7</v>
      </c>
      <c r="AB15" s="518">
        <f t="shared" si="2"/>
        <v>0.95</v>
      </c>
      <c r="AC15" s="609">
        <v>1600000</v>
      </c>
      <c r="AD15" s="513"/>
      <c r="AE15" s="487"/>
      <c r="AF15" s="487"/>
      <c r="AG15" s="496"/>
      <c r="AH15" s="496"/>
      <c r="AI15" s="497"/>
      <c r="AJ15" s="497"/>
      <c r="AK15" s="497"/>
      <c r="AL15" s="467"/>
      <c r="AM15" s="467"/>
    </row>
    <row r="16" spans="1:39" ht="48" customHeight="1">
      <c r="A16" s="521"/>
      <c r="B16" s="522" t="s">
        <v>1798</v>
      </c>
      <c r="C16" s="513"/>
      <c r="D16" s="513"/>
      <c r="E16" s="514"/>
      <c r="F16" s="515"/>
      <c r="G16" s="515"/>
      <c r="H16" s="515"/>
      <c r="I16" s="515"/>
      <c r="J16" s="516"/>
      <c r="K16" s="513"/>
      <c r="L16" s="513"/>
      <c r="M16" s="513"/>
      <c r="N16" s="513"/>
      <c r="O16" s="513"/>
      <c r="P16" s="513"/>
      <c r="Q16" s="513"/>
      <c r="R16" s="513"/>
      <c r="S16" s="517">
        <v>172000</v>
      </c>
      <c r="T16" s="513"/>
      <c r="U16" s="513"/>
      <c r="V16" s="608">
        <v>172000</v>
      </c>
      <c r="W16" s="608">
        <v>172000</v>
      </c>
      <c r="X16" s="608">
        <v>97435</v>
      </c>
      <c r="Y16" s="518">
        <f t="shared" si="0"/>
        <v>0.56648255813953485</v>
      </c>
      <c r="Z16" s="518">
        <f t="shared" si="1"/>
        <v>0.56648255813953485</v>
      </c>
      <c r="AA16" s="608">
        <v>163400</v>
      </c>
      <c r="AB16" s="518">
        <f t="shared" si="2"/>
        <v>0.95</v>
      </c>
      <c r="AC16" s="609"/>
      <c r="AD16" s="513"/>
      <c r="AE16" s="487"/>
      <c r="AF16" s="487"/>
      <c r="AG16" s="496"/>
      <c r="AH16" s="496"/>
      <c r="AI16" s="497"/>
      <c r="AJ16" s="497"/>
      <c r="AK16" s="497"/>
      <c r="AL16" s="467"/>
      <c r="AM16" s="467"/>
    </row>
    <row r="17" spans="1:39" ht="32.25" customHeight="1">
      <c r="A17" s="519" t="s">
        <v>371</v>
      </c>
      <c r="B17" s="523" t="s">
        <v>1799</v>
      </c>
      <c r="C17" s="513"/>
      <c r="D17" s="513"/>
      <c r="E17" s="514"/>
      <c r="F17" s="515"/>
      <c r="G17" s="515"/>
      <c r="H17" s="515"/>
      <c r="I17" s="515"/>
      <c r="J17" s="516"/>
      <c r="K17" s="513"/>
      <c r="L17" s="513"/>
      <c r="M17" s="513"/>
      <c r="N17" s="513"/>
      <c r="O17" s="513"/>
      <c r="P17" s="513"/>
      <c r="Q17" s="513"/>
      <c r="R17" s="513"/>
      <c r="S17" s="517">
        <v>1186448</v>
      </c>
      <c r="T17" s="513"/>
      <c r="U17" s="513"/>
      <c r="V17" s="608">
        <v>1180130</v>
      </c>
      <c r="W17" s="608">
        <v>1136417</v>
      </c>
      <c r="X17" s="608">
        <v>662667</v>
      </c>
      <c r="Y17" s="518">
        <f t="shared" si="0"/>
        <v>0.56152034097938364</v>
      </c>
      <c r="Z17" s="518">
        <f t="shared" si="1"/>
        <v>0.58311957670467796</v>
      </c>
      <c r="AA17" s="608">
        <v>1121123.5</v>
      </c>
      <c r="AB17" s="518">
        <f t="shared" si="2"/>
        <v>0.95</v>
      </c>
      <c r="AC17" s="609">
        <v>937401</v>
      </c>
      <c r="AD17" s="513"/>
      <c r="AE17" s="487"/>
      <c r="AF17" s="487"/>
      <c r="AG17" s="496"/>
      <c r="AH17" s="496"/>
      <c r="AI17" s="497"/>
      <c r="AJ17" s="497"/>
      <c r="AK17" s="497"/>
      <c r="AL17" s="467"/>
      <c r="AM17" s="467"/>
    </row>
    <row r="18" spans="1:39" ht="27.75" customHeight="1">
      <c r="A18" s="280">
        <v>2</v>
      </c>
      <c r="B18" s="524" t="s">
        <v>1666</v>
      </c>
      <c r="C18" s="513"/>
      <c r="D18" s="513"/>
      <c r="E18" s="514"/>
      <c r="F18" s="515"/>
      <c r="G18" s="515"/>
      <c r="H18" s="515"/>
      <c r="I18" s="515"/>
      <c r="J18" s="516"/>
      <c r="K18" s="513"/>
      <c r="L18" s="513"/>
      <c r="M18" s="513"/>
      <c r="N18" s="513"/>
      <c r="O18" s="513"/>
      <c r="P18" s="513"/>
      <c r="Q18" s="513"/>
      <c r="R18" s="513"/>
      <c r="S18" s="517">
        <v>15310</v>
      </c>
      <c r="T18" s="513"/>
      <c r="U18" s="513"/>
      <c r="V18" s="608">
        <f>V19+V20</f>
        <v>21628</v>
      </c>
      <c r="W18" s="608">
        <f>W19+W20</f>
        <v>21628</v>
      </c>
      <c r="X18" s="608">
        <f>X19+X20</f>
        <v>5200</v>
      </c>
      <c r="Y18" s="518">
        <f t="shared" si="0"/>
        <v>0.24042907342334011</v>
      </c>
      <c r="Z18" s="518">
        <f t="shared" si="1"/>
        <v>0.24042907342334011</v>
      </c>
      <c r="AA18" s="608">
        <f>AA19+AA20</f>
        <v>20546.599999999999</v>
      </c>
      <c r="AB18" s="518">
        <f t="shared" si="2"/>
        <v>0.95</v>
      </c>
      <c r="AC18" s="608">
        <f>AC19+AC20</f>
        <v>75168</v>
      </c>
      <c r="AD18" s="513"/>
      <c r="AE18" s="487"/>
      <c r="AF18" s="487"/>
      <c r="AG18" s="496"/>
      <c r="AH18" s="496"/>
      <c r="AI18" s="497"/>
      <c r="AJ18" s="497"/>
      <c r="AK18" s="497"/>
      <c r="AL18" s="467"/>
      <c r="AM18" s="467"/>
    </row>
    <row r="19" spans="1:39" ht="27.75" customHeight="1">
      <c r="A19" s="525" t="s">
        <v>371</v>
      </c>
      <c r="B19" s="524" t="s">
        <v>1800</v>
      </c>
      <c r="C19" s="513"/>
      <c r="D19" s="513"/>
      <c r="E19" s="514"/>
      <c r="F19" s="515"/>
      <c r="G19" s="515"/>
      <c r="H19" s="515"/>
      <c r="I19" s="515"/>
      <c r="J19" s="516"/>
      <c r="K19" s="513"/>
      <c r="L19" s="513"/>
      <c r="M19" s="513"/>
      <c r="N19" s="513"/>
      <c r="O19" s="513"/>
      <c r="P19" s="513"/>
      <c r="Q19" s="513"/>
      <c r="R19" s="513"/>
      <c r="S19" s="517"/>
      <c r="T19" s="513"/>
      <c r="U19" s="513"/>
      <c r="V19" s="608">
        <v>15310</v>
      </c>
      <c r="W19" s="608">
        <v>15310</v>
      </c>
      <c r="X19" s="608">
        <v>3200</v>
      </c>
      <c r="Y19" s="518">
        <f t="shared" si="0"/>
        <v>0.20901371652514697</v>
      </c>
      <c r="Z19" s="518">
        <f t="shared" si="1"/>
        <v>0.20901371652514697</v>
      </c>
      <c r="AA19" s="608">
        <v>14544.5</v>
      </c>
      <c r="AB19" s="518">
        <f t="shared" si="2"/>
        <v>0.95</v>
      </c>
      <c r="AC19" s="609">
        <v>75168</v>
      </c>
      <c r="AD19" s="513"/>
      <c r="AE19" s="487"/>
      <c r="AF19" s="487"/>
      <c r="AG19" s="496"/>
      <c r="AH19" s="496"/>
      <c r="AI19" s="497"/>
      <c r="AJ19" s="497"/>
      <c r="AK19" s="497"/>
      <c r="AL19" s="467"/>
      <c r="AM19" s="467"/>
    </row>
    <row r="20" spans="1:39" ht="36" customHeight="1">
      <c r="A20" s="525" t="s">
        <v>371</v>
      </c>
      <c r="B20" s="524" t="s">
        <v>1801</v>
      </c>
      <c r="C20" s="513"/>
      <c r="D20" s="513"/>
      <c r="E20" s="514"/>
      <c r="F20" s="515"/>
      <c r="G20" s="515"/>
      <c r="H20" s="515"/>
      <c r="I20" s="515"/>
      <c r="J20" s="516"/>
      <c r="K20" s="513"/>
      <c r="L20" s="513"/>
      <c r="M20" s="513"/>
      <c r="N20" s="513"/>
      <c r="O20" s="513"/>
      <c r="P20" s="513"/>
      <c r="Q20" s="513"/>
      <c r="R20" s="513"/>
      <c r="S20" s="517"/>
      <c r="T20" s="513"/>
      <c r="U20" s="513"/>
      <c r="V20" s="608">
        <v>6318</v>
      </c>
      <c r="W20" s="608">
        <v>6318</v>
      </c>
      <c r="X20" s="608">
        <v>2000</v>
      </c>
      <c r="Y20" s="518">
        <f t="shared" si="0"/>
        <v>0.31655587211142766</v>
      </c>
      <c r="Z20" s="518">
        <f t="shared" si="1"/>
        <v>0.31655587211142766</v>
      </c>
      <c r="AA20" s="608">
        <v>6002.0999999999995</v>
      </c>
      <c r="AB20" s="518">
        <f t="shared" si="2"/>
        <v>0.95</v>
      </c>
      <c r="AC20" s="609"/>
      <c r="AD20" s="513"/>
      <c r="AE20" s="487"/>
      <c r="AF20" s="487"/>
      <c r="AG20" s="496"/>
      <c r="AH20" s="496"/>
      <c r="AI20" s="497"/>
      <c r="AJ20" s="497"/>
      <c r="AK20" s="497"/>
      <c r="AL20" s="467"/>
      <c r="AM20" s="467"/>
    </row>
    <row r="21" spans="1:39" ht="27" customHeight="1">
      <c r="A21" s="594" t="s">
        <v>124</v>
      </c>
      <c r="B21" s="595" t="s">
        <v>1802</v>
      </c>
      <c r="C21" s="596">
        <v>21144592.504676398</v>
      </c>
      <c r="D21" s="596" t="e">
        <f>F21+G21+H21+I21</f>
        <v>#REF!</v>
      </c>
      <c r="E21" s="596" t="e">
        <f>F21+G21+H21</f>
        <v>#REF!</v>
      </c>
      <c r="F21" s="596" t="e">
        <f>+F22+F43+F50+#REF!+#REF!</f>
        <v>#REF!</v>
      </c>
      <c r="G21" s="596" t="e">
        <f>+G22+G43+G50+#REF!+#REF!</f>
        <v>#REF!</v>
      </c>
      <c r="H21" s="596" t="e">
        <f>+H22+H43+H50+#REF!+#REF!</f>
        <v>#REF!</v>
      </c>
      <c r="I21" s="596" t="e">
        <f>+I22+I43+I50+#REF!+#REF!</f>
        <v>#REF!</v>
      </c>
      <c r="J21" s="362">
        <f>N21+O21</f>
        <v>6648181</v>
      </c>
      <c r="K21" s="362">
        <f>K22+K43+K50</f>
        <v>4050930</v>
      </c>
      <c r="L21" s="362">
        <f>L22+L43+L50</f>
        <v>-164700</v>
      </c>
      <c r="M21" s="362">
        <f>M22+M43+M50</f>
        <v>164700</v>
      </c>
      <c r="N21" s="362">
        <f>N22+N43+N50+N64</f>
        <v>4050930</v>
      </c>
      <c r="O21" s="362">
        <f>O22+O43+O50+O70</f>
        <v>2597251</v>
      </c>
      <c r="P21" s="362">
        <f>S21-J21</f>
        <v>944206.70112618245</v>
      </c>
      <c r="Q21" s="362">
        <f>T21-N21</f>
        <v>232962.55777618289</v>
      </c>
      <c r="R21" s="362">
        <f>U21-O21</f>
        <v>711244.14334999956</v>
      </c>
      <c r="S21" s="597">
        <f>T21+U21</f>
        <v>7592387.7011261825</v>
      </c>
      <c r="T21" s="362">
        <f>T22+T43+T50+T70</f>
        <v>4283892.5577761829</v>
      </c>
      <c r="U21" s="362">
        <f>U22+U43+U50+U70</f>
        <v>3308495.1433499996</v>
      </c>
      <c r="V21" s="610">
        <f>V22+V43+V50+V70</f>
        <v>5091020.0208031824</v>
      </c>
      <c r="W21" s="610">
        <f>W22+W43+W50+W70</f>
        <v>7593466.0208031824</v>
      </c>
      <c r="X21" s="611">
        <f>X22+X43+X50</f>
        <v>2221310.6164166876</v>
      </c>
      <c r="Y21" s="598">
        <f t="shared" si="0"/>
        <v>0.43631936376990393</v>
      </c>
      <c r="Z21" s="598">
        <f t="shared" si="1"/>
        <v>0.29252921002492788</v>
      </c>
      <c r="AA21" s="610">
        <f>AA22+AA43+AA50</f>
        <v>4829439.0197630227</v>
      </c>
      <c r="AB21" s="598">
        <f t="shared" si="2"/>
        <v>0.94861913723158142</v>
      </c>
      <c r="AC21" s="610">
        <f>AC22+AC43+AC50+AC70</f>
        <v>4587001</v>
      </c>
      <c r="AD21" s="596"/>
      <c r="AE21" s="511">
        <f>P21-AG50</f>
        <v>2.0803182385861874E-2</v>
      </c>
      <c r="AF21" s="511"/>
      <c r="AG21" s="527"/>
      <c r="AH21" s="482"/>
      <c r="AI21" s="467"/>
      <c r="AJ21" s="467"/>
      <c r="AK21" s="467"/>
      <c r="AL21" s="467"/>
      <c r="AM21" s="467"/>
    </row>
    <row r="22" spans="1:39" ht="27.75" customHeight="1">
      <c r="A22" s="505">
        <v>1</v>
      </c>
      <c r="B22" s="506" t="s">
        <v>1803</v>
      </c>
      <c r="C22" s="528">
        <v>10104826.104676399</v>
      </c>
      <c r="D22" s="528" t="e">
        <f t="shared" ref="D22:D60" si="3">F22+G22+H22+I22</f>
        <v>#REF!</v>
      </c>
      <c r="E22" s="528" t="e">
        <f t="shared" ref="E22:E60" si="4">F22+G22+H22</f>
        <v>#REF!</v>
      </c>
      <c r="F22" s="528" t="e">
        <f>#REF!+#REF!</f>
        <v>#REF!</v>
      </c>
      <c r="G22" s="528" t="e">
        <f>#REF!+#REF!</f>
        <v>#REF!</v>
      </c>
      <c r="H22" s="528" t="e">
        <f>#REF!+#REF!</f>
        <v>#REF!</v>
      </c>
      <c r="I22" s="528" t="e">
        <f>#REF!+#REF!</f>
        <v>#REF!</v>
      </c>
      <c r="J22" s="507">
        <f t="shared" ref="J22:J70" si="5">N22+O22</f>
        <v>2936620</v>
      </c>
      <c r="K22" s="507">
        <f>K23+K24</f>
        <v>2383930</v>
      </c>
      <c r="L22" s="507">
        <f>L23+L24</f>
        <v>-20700</v>
      </c>
      <c r="M22" s="507">
        <f>M23+M24</f>
        <v>20700</v>
      </c>
      <c r="N22" s="507">
        <f>N23+N24</f>
        <v>2383930</v>
      </c>
      <c r="O22" s="507">
        <f>O23+O24</f>
        <v>552690</v>
      </c>
      <c r="P22" s="507"/>
      <c r="Q22" s="507"/>
      <c r="R22" s="507"/>
      <c r="S22" s="508">
        <f t="shared" ref="S22:S70" si="6">T22+U22</f>
        <v>2936620.0208031824</v>
      </c>
      <c r="T22" s="507">
        <f>T23+T24</f>
        <v>2383929.9758681823</v>
      </c>
      <c r="U22" s="507">
        <f>U23+U24</f>
        <v>552690.0449349999</v>
      </c>
      <c r="V22" s="607">
        <v>2936620.0208031824</v>
      </c>
      <c r="W22" s="607">
        <v>2936620.0208031824</v>
      </c>
      <c r="X22" s="612">
        <v>1688410.6164166876</v>
      </c>
      <c r="Y22" s="509">
        <f t="shared" si="0"/>
        <v>0.57495031854849832</v>
      </c>
      <c r="Z22" s="509">
        <f t="shared" si="1"/>
        <v>0.57495031854849832</v>
      </c>
      <c r="AA22" s="607">
        <v>2789789.0197630231</v>
      </c>
      <c r="AB22" s="509">
        <f t="shared" si="2"/>
        <v>0.95</v>
      </c>
      <c r="AC22" s="612">
        <v>3107000</v>
      </c>
      <c r="AD22" s="528"/>
      <c r="AE22" s="511">
        <f>T22-N22</f>
        <v>-2.4131817743182182E-2</v>
      </c>
      <c r="AF22" s="511">
        <f>U22-O22</f>
        <v>4.4934999896213412E-2</v>
      </c>
      <c r="AG22" s="529"/>
      <c r="AH22" s="530"/>
      <c r="AI22" s="531"/>
      <c r="AJ22" s="531"/>
      <c r="AK22" s="531"/>
      <c r="AL22" s="531"/>
      <c r="AM22" s="531"/>
    </row>
    <row r="23" spans="1:39" ht="18.75" hidden="1" customHeight="1" outlineLevel="1">
      <c r="A23" s="280" t="s">
        <v>1804</v>
      </c>
      <c r="B23" s="524" t="s">
        <v>1805</v>
      </c>
      <c r="C23" s="526">
        <v>1840000</v>
      </c>
      <c r="D23" s="526">
        <f t="shared" si="3"/>
        <v>1368234.8496263952</v>
      </c>
      <c r="E23" s="526">
        <f t="shared" si="4"/>
        <v>927751.84962639515</v>
      </c>
      <c r="F23" s="526">
        <f>'[1]PL1 Phan cap (IN)'!J12</f>
        <v>296999.84962639509</v>
      </c>
      <c r="G23" s="526">
        <f>'[1]PL1 Phan cap (IN)'!K12</f>
        <v>320000</v>
      </c>
      <c r="H23" s="526">
        <f>'[1]PL1 Phan cap (IN)'!L12</f>
        <v>310752</v>
      </c>
      <c r="I23" s="526">
        <f>'[1]PL1 Phan cap (IN)'!M12</f>
        <v>440483</v>
      </c>
      <c r="J23" s="532">
        <f t="shared" si="5"/>
        <v>703852.05776600004</v>
      </c>
      <c r="K23" s="532">
        <f>'[1]PL1 Phan cap (IN)'!N12</f>
        <v>468785.99999999994</v>
      </c>
      <c r="L23" s="532">
        <f>'[1]PL1 Phan cap (IN)'!O12</f>
        <v>0</v>
      </c>
      <c r="M23" s="532">
        <f>'[1]PL1 Phan cap (IN)'!P12</f>
        <v>0</v>
      </c>
      <c r="N23" s="532">
        <v>468786</v>
      </c>
      <c r="O23" s="532">
        <v>235066.05776600001</v>
      </c>
      <c r="P23" s="532">
        <f t="shared" ref="P23:P70" si="7">S23-J23</f>
        <v>-438900.4348978182</v>
      </c>
      <c r="Q23" s="532">
        <f t="shared" ref="Q23:R70" si="8">T23-N23</f>
        <v>-420801.67313181818</v>
      </c>
      <c r="R23" s="532">
        <f t="shared" si="8"/>
        <v>-18098.761766000011</v>
      </c>
      <c r="S23" s="533">
        <f t="shared" si="6"/>
        <v>264951.62286818185</v>
      </c>
      <c r="T23" s="532">
        <f>'[2]PLTH-HUYEN GIAO'!BB21</f>
        <v>47984.326868181823</v>
      </c>
      <c r="U23" s="532">
        <f>'[2]PLTH-HUYEN GIAO'!BB26</f>
        <v>216967.296</v>
      </c>
      <c r="V23" s="613">
        <v>264951.62286818185</v>
      </c>
      <c r="W23" s="613">
        <v>264951.62286818185</v>
      </c>
      <c r="X23" s="614"/>
      <c r="Y23" s="534">
        <f t="shared" si="0"/>
        <v>0</v>
      </c>
      <c r="Z23" s="534">
        <f t="shared" si="1"/>
        <v>0</v>
      </c>
      <c r="AA23" s="613">
        <v>251704.04172477275</v>
      </c>
      <c r="AB23" s="534">
        <f t="shared" si="2"/>
        <v>0.95</v>
      </c>
      <c r="AC23" s="614">
        <v>3107000</v>
      </c>
      <c r="AD23" s="535"/>
      <c r="AE23" s="511"/>
      <c r="AF23" s="511"/>
      <c r="AG23" s="529"/>
      <c r="AH23" s="530"/>
      <c r="AI23" s="531"/>
      <c r="AJ23" s="531"/>
      <c r="AK23" s="531"/>
      <c r="AL23" s="531"/>
      <c r="AM23" s="531"/>
    </row>
    <row r="24" spans="1:39" ht="34.5" hidden="1" customHeight="1" outlineLevel="1">
      <c r="A24" s="280" t="s">
        <v>1806</v>
      </c>
      <c r="B24" s="524" t="s">
        <v>1807</v>
      </c>
      <c r="C24" s="526">
        <v>7338826.1046764003</v>
      </c>
      <c r="D24" s="526" t="e">
        <f t="shared" si="3"/>
        <v>#REF!</v>
      </c>
      <c r="E24" s="526" t="e">
        <f t="shared" si="4"/>
        <v>#REF!</v>
      </c>
      <c r="F24" s="526" t="e">
        <f>#REF!+F26+F25+F27+F38+#REF!+#REF!+F31+F36+F39</f>
        <v>#REF!</v>
      </c>
      <c r="G24" s="526" t="e">
        <f>#REF!+G26+G25+G27+G38+#REF!+#REF!+G31+G36+G39</f>
        <v>#REF!</v>
      </c>
      <c r="H24" s="526" t="e">
        <f>#REF!+H26+H25+H27+H38+#REF!+#REF!+H31+H36+H39</f>
        <v>#REF!</v>
      </c>
      <c r="I24" s="526" t="e">
        <f>#REF!+I26+I25+I27+I38+#REF!+#REF!+I31+I36+I39</f>
        <v>#REF!</v>
      </c>
      <c r="J24" s="532">
        <f t="shared" si="5"/>
        <v>2232767.9422340002</v>
      </c>
      <c r="K24" s="532">
        <f>K25+K26+K27+K31+K35+K38+K39+K40</f>
        <v>1915144</v>
      </c>
      <c r="L24" s="532">
        <f>L25+L26+L27+L31+L35+L38+L39+L40</f>
        <v>-20700</v>
      </c>
      <c r="M24" s="532">
        <f>M25+M26+M27+M31+M35+M38+M39+M40</f>
        <v>20700</v>
      </c>
      <c r="N24" s="532">
        <f>N25+N26+N27+N31+N35+N38+N39+N40</f>
        <v>1915144</v>
      </c>
      <c r="O24" s="532">
        <f>O25+O26+O27+O31+O35+O38+O39+O40</f>
        <v>317623.94223399996</v>
      </c>
      <c r="P24" s="532">
        <f t="shared" si="7"/>
        <v>438900.45570100006</v>
      </c>
      <c r="Q24" s="532">
        <f>Q25+Q26+Q27+Q31+Q35+Q38+Q39+Q40+Q41+Q42</f>
        <v>420801.67313181772</v>
      </c>
      <c r="R24" s="532">
        <f t="shared" si="8"/>
        <v>18098.806700999965</v>
      </c>
      <c r="S24" s="533">
        <f>S25+S26+S27+S31+S35+S38+S39+S40+S41+S42</f>
        <v>2671668.3979350002</v>
      </c>
      <c r="T24" s="532">
        <f>T25+T26+T27+T31+T35+T38+T39+T40+T41+T42</f>
        <v>2335945.6490000002</v>
      </c>
      <c r="U24" s="532">
        <f>U25+U26+U27+U31+U35+U38+U39+U40+U41+U42</f>
        <v>335722.74893499992</v>
      </c>
      <c r="V24" s="613">
        <v>2671668.3979350002</v>
      </c>
      <c r="W24" s="613">
        <v>2671668.3979350002</v>
      </c>
      <c r="X24" s="614"/>
      <c r="Y24" s="534">
        <f t="shared" si="0"/>
        <v>0</v>
      </c>
      <c r="Z24" s="534">
        <f t="shared" si="1"/>
        <v>0</v>
      </c>
      <c r="AA24" s="613">
        <v>2538084.97803825</v>
      </c>
      <c r="AB24" s="534">
        <f t="shared" si="2"/>
        <v>0.95</v>
      </c>
      <c r="AC24" s="614"/>
      <c r="AD24" s="535"/>
      <c r="AE24" s="511"/>
      <c r="AF24" s="511"/>
      <c r="AG24" s="529"/>
      <c r="AH24" s="530"/>
      <c r="AI24" s="531"/>
      <c r="AJ24" s="531"/>
      <c r="AK24" s="531"/>
      <c r="AL24" s="531"/>
      <c r="AM24" s="531"/>
    </row>
    <row r="25" spans="1:39" ht="23.25" hidden="1" customHeight="1" outlineLevel="1">
      <c r="A25" s="280">
        <v>1</v>
      </c>
      <c r="B25" s="524" t="s">
        <v>1808</v>
      </c>
      <c r="C25" s="528">
        <v>200000</v>
      </c>
      <c r="D25" s="526" t="e">
        <f>F25+G25+H25+I25</f>
        <v>#REF!</v>
      </c>
      <c r="E25" s="526" t="e">
        <f>F25+G25+H25</f>
        <v>#REF!</v>
      </c>
      <c r="F25" s="526" t="e">
        <f>#REF!</f>
        <v>#REF!</v>
      </c>
      <c r="G25" s="526" t="e">
        <f>#REF!</f>
        <v>#REF!</v>
      </c>
      <c r="H25" s="526" t="e">
        <f>#REF!</f>
        <v>#REF!</v>
      </c>
      <c r="I25" s="526">
        <f>51722.6-7800</f>
        <v>43922.6</v>
      </c>
      <c r="J25" s="532">
        <f t="shared" si="5"/>
        <v>22793.558033999871</v>
      </c>
      <c r="K25" s="532">
        <v>20000</v>
      </c>
      <c r="L25" s="532"/>
      <c r="M25" s="532"/>
      <c r="N25" s="532">
        <f t="shared" ref="N25:N30" si="9">K25+L25+M25</f>
        <v>20000</v>
      </c>
      <c r="O25" s="532">
        <v>2793.5580339998701</v>
      </c>
      <c r="P25" s="532">
        <f t="shared" si="7"/>
        <v>0</v>
      </c>
      <c r="Q25" s="532">
        <f t="shared" si="8"/>
        <v>0</v>
      </c>
      <c r="R25" s="532">
        <f t="shared" si="8"/>
        <v>0</v>
      </c>
      <c r="S25" s="533">
        <f t="shared" si="6"/>
        <v>22793.558033999871</v>
      </c>
      <c r="T25" s="532">
        <v>20000</v>
      </c>
      <c r="U25" s="532">
        <v>2793.5580339998701</v>
      </c>
      <c r="V25" s="613">
        <v>22793.558033999871</v>
      </c>
      <c r="W25" s="613">
        <v>22793.558033999871</v>
      </c>
      <c r="X25" s="614"/>
      <c r="Y25" s="534">
        <f t="shared" si="0"/>
        <v>0</v>
      </c>
      <c r="Z25" s="534">
        <f t="shared" si="1"/>
        <v>0</v>
      </c>
      <c r="AA25" s="613">
        <v>21653.880132299877</v>
      </c>
      <c r="AB25" s="534">
        <f t="shared" si="2"/>
        <v>0.95</v>
      </c>
      <c r="AC25" s="614"/>
      <c r="AD25" s="535"/>
      <c r="AE25" s="511"/>
      <c r="AF25" s="511"/>
      <c r="AG25" s="529"/>
      <c r="AH25" s="530"/>
      <c r="AI25" s="531"/>
      <c r="AJ25" s="531"/>
      <c r="AK25" s="531"/>
      <c r="AL25" s="531"/>
      <c r="AM25" s="531"/>
    </row>
    <row r="26" spans="1:39" ht="31.2" hidden="1" outlineLevel="1">
      <c r="A26" s="280">
        <v>2</v>
      </c>
      <c r="B26" s="524" t="s">
        <v>1809</v>
      </c>
      <c r="C26" s="526">
        <v>91744</v>
      </c>
      <c r="D26" s="526">
        <f t="shared" si="3"/>
        <v>85393.436665588699</v>
      </c>
      <c r="E26" s="526">
        <f t="shared" si="4"/>
        <v>78183.853999999992</v>
      </c>
      <c r="F26" s="526">
        <f>'[1]ODA-cũ'!R15</f>
        <v>25657.853999999999</v>
      </c>
      <c r="G26" s="526">
        <f>'[1]ODA-cũ'!S15</f>
        <v>41234</v>
      </c>
      <c r="H26" s="526">
        <f>'[1]ODA-cũ'!T15</f>
        <v>11292</v>
      </c>
      <c r="I26" s="526">
        <f>25000-16490-1300.41733441129</f>
        <v>7209.5826655887104</v>
      </c>
      <c r="J26" s="532">
        <f t="shared" si="5"/>
        <v>7319</v>
      </c>
      <c r="K26" s="532">
        <v>2500</v>
      </c>
      <c r="L26" s="532"/>
      <c r="M26" s="532"/>
      <c r="N26" s="532">
        <f t="shared" si="9"/>
        <v>2500</v>
      </c>
      <c r="O26" s="532">
        <v>4819</v>
      </c>
      <c r="P26" s="532">
        <f t="shared" si="7"/>
        <v>0</v>
      </c>
      <c r="Q26" s="532">
        <f t="shared" si="8"/>
        <v>0</v>
      </c>
      <c r="R26" s="532">
        <f t="shared" si="8"/>
        <v>0</v>
      </c>
      <c r="S26" s="533">
        <f t="shared" si="6"/>
        <v>7319</v>
      </c>
      <c r="T26" s="532">
        <v>2500</v>
      </c>
      <c r="U26" s="532">
        <v>4819</v>
      </c>
      <c r="V26" s="613">
        <v>7319</v>
      </c>
      <c r="W26" s="613">
        <v>7319</v>
      </c>
      <c r="X26" s="614"/>
      <c r="Y26" s="534">
        <f t="shared" si="0"/>
        <v>0</v>
      </c>
      <c r="Z26" s="534">
        <f t="shared" si="1"/>
        <v>0</v>
      </c>
      <c r="AA26" s="613">
        <v>6953.0499999999993</v>
      </c>
      <c r="AB26" s="534">
        <f t="shared" si="2"/>
        <v>0.95</v>
      </c>
      <c r="AC26" s="614"/>
      <c r="AD26" s="535"/>
      <c r="AE26" s="511"/>
      <c r="AF26" s="511"/>
      <c r="AG26" s="529"/>
      <c r="AH26" s="530"/>
      <c r="AI26" s="531"/>
      <c r="AJ26" s="531"/>
      <c r="AK26" s="531"/>
      <c r="AL26" s="531"/>
      <c r="AM26" s="531"/>
    </row>
    <row r="27" spans="1:39" ht="33.75" hidden="1" customHeight="1" outlineLevel="1">
      <c r="A27" s="536">
        <v>3</v>
      </c>
      <c r="B27" s="537" t="s">
        <v>1810</v>
      </c>
      <c r="C27" s="538">
        <v>1140527.94</v>
      </c>
      <c r="D27" s="538">
        <f t="shared" si="3"/>
        <v>705802</v>
      </c>
      <c r="E27" s="538">
        <f t="shared" si="4"/>
        <v>412702</v>
      </c>
      <c r="F27" s="538">
        <f>'[1]Đieu chinh khv 2021'!AL14</f>
        <v>140000</v>
      </c>
      <c r="G27" s="538">
        <f>'[1]Đieu chinh khv 2022'!R16</f>
        <v>161643</v>
      </c>
      <c r="H27" s="538">
        <f>100000+11059</f>
        <v>111059</v>
      </c>
      <c r="I27" s="538">
        <f>324700-31600</f>
        <v>293100</v>
      </c>
      <c r="J27" s="539">
        <f t="shared" si="5"/>
        <v>433126</v>
      </c>
      <c r="K27" s="539">
        <f>K28+K29+K30</f>
        <v>421067</v>
      </c>
      <c r="L27" s="539">
        <f>L28+L29+L30</f>
        <v>0</v>
      </c>
      <c r="M27" s="539">
        <f>M28+M29+M30</f>
        <v>0</v>
      </c>
      <c r="N27" s="539">
        <f t="shared" si="9"/>
        <v>421067</v>
      </c>
      <c r="O27" s="539">
        <f>O28+O29+O30</f>
        <v>12059</v>
      </c>
      <c r="P27" s="539">
        <f t="shared" si="7"/>
        <v>176273.77799999993</v>
      </c>
      <c r="Q27" s="539">
        <f t="shared" si="8"/>
        <v>159752.51699999999</v>
      </c>
      <c r="R27" s="539">
        <f t="shared" si="8"/>
        <v>16521.260999999999</v>
      </c>
      <c r="S27" s="540">
        <f t="shared" si="6"/>
        <v>609399.77799999993</v>
      </c>
      <c r="T27" s="539">
        <f>421067+'[2]PLTH-HUYEN GIAO'!BB22</f>
        <v>580819.51699999999</v>
      </c>
      <c r="U27" s="539">
        <f>12059+'[2]PLTH-HUYEN GIAO'!BB27</f>
        <v>28580.260999999999</v>
      </c>
      <c r="V27" s="615">
        <v>609399.77799999993</v>
      </c>
      <c r="W27" s="615">
        <v>609399.77799999993</v>
      </c>
      <c r="X27" s="616"/>
      <c r="Y27" s="541">
        <f t="shared" si="0"/>
        <v>0</v>
      </c>
      <c r="Z27" s="541">
        <f t="shared" si="1"/>
        <v>0</v>
      </c>
      <c r="AA27" s="615">
        <v>578929.78909999994</v>
      </c>
      <c r="AB27" s="541">
        <f t="shared" si="2"/>
        <v>0.95</v>
      </c>
      <c r="AC27" s="616"/>
      <c r="AD27" s="542"/>
      <c r="AE27" s="543"/>
      <c r="AF27" s="543"/>
      <c r="AG27" s="544"/>
      <c r="AH27" s="545"/>
      <c r="AI27" s="546"/>
      <c r="AJ27" s="546"/>
      <c r="AK27" s="546"/>
      <c r="AL27" s="546"/>
      <c r="AM27" s="546"/>
    </row>
    <row r="28" spans="1:39" ht="60" hidden="1" customHeight="1" outlineLevel="1">
      <c r="A28" s="525" t="s">
        <v>1811</v>
      </c>
      <c r="B28" s="512" t="s">
        <v>1812</v>
      </c>
      <c r="C28" s="547">
        <v>973800</v>
      </c>
      <c r="D28" s="526">
        <f t="shared" si="3"/>
        <v>577806</v>
      </c>
      <c r="E28" s="547">
        <f t="shared" si="4"/>
        <v>329406</v>
      </c>
      <c r="F28" s="547">
        <v>140000</v>
      </c>
      <c r="G28" s="547">
        <v>119406</v>
      </c>
      <c r="H28" s="547">
        <v>70000</v>
      </c>
      <c r="I28" s="547">
        <v>248399.99999999997</v>
      </c>
      <c r="J28" s="548">
        <f t="shared" si="5"/>
        <v>387859</v>
      </c>
      <c r="K28" s="548">
        <v>387859</v>
      </c>
      <c r="L28" s="548"/>
      <c r="M28" s="548"/>
      <c r="N28" s="548">
        <f t="shared" si="9"/>
        <v>387859</v>
      </c>
      <c r="O28" s="548"/>
      <c r="P28" s="548">
        <f t="shared" si="7"/>
        <v>0</v>
      </c>
      <c r="Q28" s="548">
        <f t="shared" si="8"/>
        <v>0</v>
      </c>
      <c r="R28" s="548">
        <f t="shared" si="8"/>
        <v>0</v>
      </c>
      <c r="S28" s="549">
        <f t="shared" si="6"/>
        <v>387859</v>
      </c>
      <c r="T28" s="548">
        <v>387859</v>
      </c>
      <c r="U28" s="548"/>
      <c r="V28" s="617">
        <v>387859</v>
      </c>
      <c r="W28" s="617">
        <v>387859</v>
      </c>
      <c r="X28" s="618"/>
      <c r="Y28" s="550">
        <f t="shared" si="0"/>
        <v>0</v>
      </c>
      <c r="Z28" s="550">
        <f t="shared" si="1"/>
        <v>0</v>
      </c>
      <c r="AA28" s="617">
        <v>368466.05</v>
      </c>
      <c r="AB28" s="550">
        <f t="shared" si="2"/>
        <v>0.95</v>
      </c>
      <c r="AC28" s="618"/>
      <c r="AD28" s="535"/>
      <c r="AE28" s="511"/>
      <c r="AF28" s="511"/>
      <c r="AG28" s="529"/>
      <c r="AH28" s="530"/>
      <c r="AI28" s="531"/>
      <c r="AJ28" s="531"/>
      <c r="AK28" s="531"/>
      <c r="AL28" s="531"/>
      <c r="AM28" s="531"/>
    </row>
    <row r="29" spans="1:39" ht="23.25" hidden="1" customHeight="1" outlineLevel="1">
      <c r="A29" s="525" t="s">
        <v>1813</v>
      </c>
      <c r="B29" s="512" t="s">
        <v>1814</v>
      </c>
      <c r="C29" s="547">
        <v>56107</v>
      </c>
      <c r="D29" s="526">
        <f t="shared" si="3"/>
        <v>45526</v>
      </c>
      <c r="E29" s="547">
        <f t="shared" si="4"/>
        <v>30983</v>
      </c>
      <c r="F29" s="547"/>
      <c r="G29" s="547">
        <f>18224+197</f>
        <v>18421</v>
      </c>
      <c r="H29" s="547">
        <f>12759-197</f>
        <v>12562</v>
      </c>
      <c r="I29" s="547">
        <v>14543</v>
      </c>
      <c r="J29" s="548">
        <f t="shared" si="5"/>
        <v>10955</v>
      </c>
      <c r="K29" s="548">
        <v>8606</v>
      </c>
      <c r="L29" s="548"/>
      <c r="M29" s="548"/>
      <c r="N29" s="548">
        <f t="shared" si="9"/>
        <v>8606</v>
      </c>
      <c r="O29" s="548">
        <v>2349</v>
      </c>
      <c r="P29" s="548">
        <f t="shared" si="7"/>
        <v>0</v>
      </c>
      <c r="Q29" s="548">
        <f t="shared" si="8"/>
        <v>0</v>
      </c>
      <c r="R29" s="548">
        <f t="shared" si="8"/>
        <v>0</v>
      </c>
      <c r="S29" s="549">
        <f t="shared" si="6"/>
        <v>10955</v>
      </c>
      <c r="T29" s="548">
        <v>8606</v>
      </c>
      <c r="U29" s="548">
        <v>2349</v>
      </c>
      <c r="V29" s="617">
        <v>10955</v>
      </c>
      <c r="W29" s="617">
        <v>10955</v>
      </c>
      <c r="X29" s="618"/>
      <c r="Y29" s="550">
        <f t="shared" si="0"/>
        <v>0</v>
      </c>
      <c r="Z29" s="550">
        <f t="shared" si="1"/>
        <v>0</v>
      </c>
      <c r="AA29" s="617">
        <v>10407.25</v>
      </c>
      <c r="AB29" s="550">
        <f t="shared" si="2"/>
        <v>0.95</v>
      </c>
      <c r="AC29" s="618"/>
      <c r="AD29" s="535"/>
      <c r="AE29" s="511"/>
      <c r="AF29" s="511"/>
      <c r="AG29" s="529"/>
      <c r="AH29" s="530"/>
      <c r="AI29" s="531"/>
      <c r="AJ29" s="531"/>
      <c r="AK29" s="531"/>
      <c r="AL29" s="531"/>
      <c r="AM29" s="531"/>
    </row>
    <row r="30" spans="1:39" ht="6.75" hidden="1" customHeight="1" outlineLevel="1">
      <c r="A30" s="525" t="s">
        <v>1815</v>
      </c>
      <c r="B30" s="512" t="s">
        <v>1816</v>
      </c>
      <c r="C30" s="547">
        <v>110620.93999999994</v>
      </c>
      <c r="D30" s="526">
        <f t="shared" si="3"/>
        <v>82471</v>
      </c>
      <c r="E30" s="547">
        <f t="shared" si="4"/>
        <v>52314</v>
      </c>
      <c r="F30" s="547"/>
      <c r="G30" s="547">
        <v>23816</v>
      </c>
      <c r="H30" s="547">
        <v>28498</v>
      </c>
      <c r="I30" s="547">
        <v>30157</v>
      </c>
      <c r="J30" s="548">
        <f t="shared" si="5"/>
        <v>34312</v>
      </c>
      <c r="K30" s="548">
        <v>24602</v>
      </c>
      <c r="L30" s="548"/>
      <c r="M30" s="548"/>
      <c r="N30" s="548">
        <f t="shared" si="9"/>
        <v>24602</v>
      </c>
      <c r="O30" s="548">
        <v>9710</v>
      </c>
      <c r="P30" s="548">
        <f t="shared" si="7"/>
        <v>0</v>
      </c>
      <c r="Q30" s="548">
        <f t="shared" si="8"/>
        <v>0</v>
      </c>
      <c r="R30" s="548">
        <f t="shared" si="8"/>
        <v>0</v>
      </c>
      <c r="S30" s="549">
        <f t="shared" si="6"/>
        <v>34312</v>
      </c>
      <c r="T30" s="548">
        <v>24602</v>
      </c>
      <c r="U30" s="548">
        <v>9710</v>
      </c>
      <c r="V30" s="617">
        <v>34312</v>
      </c>
      <c r="W30" s="617">
        <v>34312</v>
      </c>
      <c r="X30" s="618"/>
      <c r="Y30" s="550">
        <f t="shared" si="0"/>
        <v>0</v>
      </c>
      <c r="Z30" s="550">
        <f t="shared" si="1"/>
        <v>0</v>
      </c>
      <c r="AA30" s="617">
        <v>32596.399999999998</v>
      </c>
      <c r="AB30" s="550">
        <f t="shared" si="2"/>
        <v>0.95</v>
      </c>
      <c r="AC30" s="618"/>
      <c r="AD30" s="535"/>
      <c r="AE30" s="511"/>
      <c r="AF30" s="511"/>
      <c r="AG30" s="529"/>
      <c r="AH30" s="530"/>
      <c r="AI30" s="531"/>
      <c r="AJ30" s="531"/>
      <c r="AK30" s="531"/>
      <c r="AL30" s="531"/>
      <c r="AM30" s="531"/>
    </row>
    <row r="31" spans="1:39" ht="21" hidden="1" customHeight="1" outlineLevel="1">
      <c r="A31" s="280">
        <v>4</v>
      </c>
      <c r="B31" s="524" t="s">
        <v>1817</v>
      </c>
      <c r="C31" s="526">
        <v>1189600</v>
      </c>
      <c r="D31" s="526">
        <f>F31+G31+H31+I31</f>
        <v>750510</v>
      </c>
      <c r="E31" s="526">
        <f>F31+G31+H31</f>
        <v>225110</v>
      </c>
      <c r="F31" s="526">
        <f>SUM(F32:F33)</f>
        <v>6000</v>
      </c>
      <c r="G31" s="526">
        <f>SUM(G32:G33)</f>
        <v>31000</v>
      </c>
      <c r="H31" s="526">
        <f>SUM(H32:H33)</f>
        <v>188110</v>
      </c>
      <c r="I31" s="526">
        <f>SUM(I32:I33)</f>
        <v>525400</v>
      </c>
      <c r="J31" s="532">
        <f t="shared" si="5"/>
        <v>298450</v>
      </c>
      <c r="K31" s="532">
        <f>SUM(K32:K34)</f>
        <v>286850</v>
      </c>
      <c r="L31" s="532">
        <f>SUM(L32:L34)</f>
        <v>-20700</v>
      </c>
      <c r="M31" s="532">
        <f>SUM(M32:M34)</f>
        <v>3300</v>
      </c>
      <c r="N31" s="532">
        <f>SUM(N32:N34)</f>
        <v>269450</v>
      </c>
      <c r="O31" s="532">
        <f>SUM(O32:O34)</f>
        <v>29000</v>
      </c>
      <c r="P31" s="532">
        <f t="shared" si="7"/>
        <v>0</v>
      </c>
      <c r="Q31" s="532">
        <f t="shared" si="8"/>
        <v>0</v>
      </c>
      <c r="R31" s="532">
        <f t="shared" si="8"/>
        <v>0</v>
      </c>
      <c r="S31" s="533">
        <f t="shared" si="6"/>
        <v>298450</v>
      </c>
      <c r="T31" s="532">
        <v>269450</v>
      </c>
      <c r="U31" s="532">
        <v>29000</v>
      </c>
      <c r="V31" s="613">
        <v>298450</v>
      </c>
      <c r="W31" s="613">
        <v>298450</v>
      </c>
      <c r="X31" s="614"/>
      <c r="Y31" s="534">
        <f t="shared" si="0"/>
        <v>0</v>
      </c>
      <c r="Z31" s="534">
        <f t="shared" si="1"/>
        <v>0</v>
      </c>
      <c r="AA31" s="613">
        <v>283527.5</v>
      </c>
      <c r="AB31" s="534">
        <f t="shared" si="2"/>
        <v>0.95</v>
      </c>
      <c r="AC31" s="614"/>
      <c r="AD31" s="551"/>
      <c r="AE31" s="511"/>
      <c r="AF31" s="511"/>
      <c r="AG31" s="529"/>
      <c r="AH31" s="531"/>
      <c r="AI31" s="531"/>
      <c r="AJ31" s="531"/>
      <c r="AK31" s="531"/>
      <c r="AL31" s="531"/>
      <c r="AM31" s="531"/>
    </row>
    <row r="32" spans="1:39" ht="20.25" hidden="1" customHeight="1" outlineLevel="1">
      <c r="A32" s="279" t="s">
        <v>1684</v>
      </c>
      <c r="B32" s="512" t="s">
        <v>1818</v>
      </c>
      <c r="C32" s="547">
        <v>991200</v>
      </c>
      <c r="D32" s="547">
        <f>F32+G32+H32+I32</f>
        <v>667010</v>
      </c>
      <c r="E32" s="547">
        <f>F32+G32+H32</f>
        <v>199110</v>
      </c>
      <c r="F32" s="547">
        <f>'[1]PL4 DOi Ung von DA NSTW (IN)'!CX15</f>
        <v>0</v>
      </c>
      <c r="G32" s="547">
        <f>'[1]PL4 DOi Ung von DA NSTW (IN)'!DC15</f>
        <v>31000</v>
      </c>
      <c r="H32" s="547">
        <f>'[1]PL4 DOi Ung von DA NSTW (IN)'!DH15</f>
        <v>168110</v>
      </c>
      <c r="I32" s="547">
        <f>'[1]PL4 DOi Ung von DA NSTW (IN)'!DM15</f>
        <v>467900</v>
      </c>
      <c r="J32" s="548">
        <f t="shared" si="5"/>
        <v>222650</v>
      </c>
      <c r="K32" s="548">
        <v>214350</v>
      </c>
      <c r="L32" s="548">
        <v>-20700</v>
      </c>
      <c r="M32" s="548"/>
      <c r="N32" s="548">
        <v>193650</v>
      </c>
      <c r="O32" s="548">
        <v>29000</v>
      </c>
      <c r="P32" s="548">
        <f t="shared" si="7"/>
        <v>0</v>
      </c>
      <c r="Q32" s="548">
        <f t="shared" si="8"/>
        <v>0</v>
      </c>
      <c r="R32" s="548">
        <f t="shared" si="8"/>
        <v>0</v>
      </c>
      <c r="S32" s="549">
        <f t="shared" si="6"/>
        <v>222650</v>
      </c>
      <c r="T32" s="548">
        <v>193650</v>
      </c>
      <c r="U32" s="548">
        <v>29000</v>
      </c>
      <c r="V32" s="617">
        <v>222650</v>
      </c>
      <c r="W32" s="617">
        <v>222650</v>
      </c>
      <c r="X32" s="618"/>
      <c r="Y32" s="550">
        <f t="shared" si="0"/>
        <v>0</v>
      </c>
      <c r="Z32" s="550">
        <f t="shared" si="1"/>
        <v>0</v>
      </c>
      <c r="AA32" s="617">
        <v>211517.5</v>
      </c>
      <c r="AB32" s="550">
        <f t="shared" si="2"/>
        <v>0.95</v>
      </c>
      <c r="AC32" s="618"/>
      <c r="AD32" s="535"/>
      <c r="AE32" s="511"/>
      <c r="AF32" s="511"/>
      <c r="AG32" s="552"/>
      <c r="AH32" s="553"/>
      <c r="AI32" s="554"/>
      <c r="AJ32" s="554"/>
      <c r="AK32" s="554"/>
      <c r="AL32" s="554"/>
      <c r="AM32" s="554"/>
    </row>
    <row r="33" spans="1:39" ht="20.25" hidden="1" customHeight="1" outlineLevel="1">
      <c r="A33" s="279" t="s">
        <v>1685</v>
      </c>
      <c r="B33" s="512" t="s">
        <v>1819</v>
      </c>
      <c r="C33" s="547">
        <v>176000</v>
      </c>
      <c r="D33" s="547">
        <f>F33+G33+H33+I33</f>
        <v>83500</v>
      </c>
      <c r="E33" s="547">
        <f>F33+G33+H33</f>
        <v>26000</v>
      </c>
      <c r="F33" s="547">
        <f>'[1]PL4 DOi Ung von DA NSTW (IN)'!CX48</f>
        <v>6000</v>
      </c>
      <c r="G33" s="547">
        <f>'[1]PL4 DOi Ung von DA NSTW (IN)'!DC48</f>
        <v>0</v>
      </c>
      <c r="H33" s="547">
        <f>'[1]PL4 DOi Ung von DA NSTW (IN)'!DH48</f>
        <v>20000</v>
      </c>
      <c r="I33" s="547">
        <f>'[1]PL4 DOi Ung von DA NSTW (IN)'!DM48</f>
        <v>57500</v>
      </c>
      <c r="J33" s="548">
        <f t="shared" si="5"/>
        <v>72500</v>
      </c>
      <c r="K33" s="548">
        <v>72500</v>
      </c>
      <c r="L33" s="548"/>
      <c r="M33" s="548"/>
      <c r="N33" s="548">
        <f>K33+L33+M33</f>
        <v>72500</v>
      </c>
      <c r="O33" s="548"/>
      <c r="P33" s="548">
        <f t="shared" si="7"/>
        <v>0</v>
      </c>
      <c r="Q33" s="548">
        <f t="shared" si="8"/>
        <v>0</v>
      </c>
      <c r="R33" s="548">
        <f t="shared" si="8"/>
        <v>0</v>
      </c>
      <c r="S33" s="549">
        <f t="shared" si="6"/>
        <v>72500</v>
      </c>
      <c r="T33" s="548">
        <v>72500</v>
      </c>
      <c r="U33" s="548"/>
      <c r="V33" s="617">
        <v>72500</v>
      </c>
      <c r="W33" s="617">
        <v>72500</v>
      </c>
      <c r="X33" s="618"/>
      <c r="Y33" s="550">
        <f t="shared" si="0"/>
        <v>0</v>
      </c>
      <c r="Z33" s="550">
        <f t="shared" si="1"/>
        <v>0</v>
      </c>
      <c r="AA33" s="617">
        <v>68875</v>
      </c>
      <c r="AB33" s="550">
        <f t="shared" si="2"/>
        <v>0.95</v>
      </c>
      <c r="AC33" s="618"/>
      <c r="AD33" s="551"/>
      <c r="AE33" s="511"/>
      <c r="AF33" s="511"/>
      <c r="AG33" s="552"/>
      <c r="AH33" s="554"/>
      <c r="AI33" s="554"/>
      <c r="AJ33" s="554"/>
      <c r="AK33" s="554"/>
      <c r="AL33" s="554"/>
      <c r="AM33" s="554"/>
    </row>
    <row r="34" spans="1:39" ht="20.25" hidden="1" customHeight="1" outlineLevel="1">
      <c r="A34" s="279" t="s">
        <v>1686</v>
      </c>
      <c r="B34" s="512" t="s">
        <v>1820</v>
      </c>
      <c r="C34" s="547"/>
      <c r="D34" s="547"/>
      <c r="E34" s="547"/>
      <c r="F34" s="547"/>
      <c r="G34" s="547"/>
      <c r="H34" s="547"/>
      <c r="I34" s="547"/>
      <c r="J34" s="548">
        <f t="shared" si="5"/>
        <v>3300</v>
      </c>
      <c r="K34" s="548">
        <v>0</v>
      </c>
      <c r="L34" s="548"/>
      <c r="M34" s="548">
        <v>3300</v>
      </c>
      <c r="N34" s="548">
        <v>3300</v>
      </c>
      <c r="O34" s="548"/>
      <c r="P34" s="548">
        <f t="shared" si="7"/>
        <v>0</v>
      </c>
      <c r="Q34" s="548">
        <f t="shared" si="8"/>
        <v>0</v>
      </c>
      <c r="R34" s="548">
        <f t="shared" si="8"/>
        <v>0</v>
      </c>
      <c r="S34" s="549">
        <f t="shared" si="6"/>
        <v>3300</v>
      </c>
      <c r="T34" s="548">
        <v>3300</v>
      </c>
      <c r="U34" s="548"/>
      <c r="V34" s="617">
        <v>3300</v>
      </c>
      <c r="W34" s="617">
        <v>3300</v>
      </c>
      <c r="X34" s="618"/>
      <c r="Y34" s="550">
        <f t="shared" si="0"/>
        <v>0</v>
      </c>
      <c r="Z34" s="550">
        <f t="shared" si="1"/>
        <v>0</v>
      </c>
      <c r="AA34" s="617">
        <v>3135</v>
      </c>
      <c r="AB34" s="550">
        <f t="shared" si="2"/>
        <v>0.95</v>
      </c>
      <c r="AC34" s="618"/>
      <c r="AD34" s="535"/>
      <c r="AE34" s="511"/>
      <c r="AF34" s="511"/>
      <c r="AG34" s="552"/>
      <c r="AH34" s="554"/>
      <c r="AI34" s="554"/>
      <c r="AJ34" s="554"/>
      <c r="AK34" s="554"/>
      <c r="AL34" s="554"/>
      <c r="AM34" s="554"/>
    </row>
    <row r="35" spans="1:39" ht="21.75" hidden="1" customHeight="1" outlineLevel="1">
      <c r="A35" s="280">
        <v>5</v>
      </c>
      <c r="B35" s="524" t="s">
        <v>1821</v>
      </c>
      <c r="C35" s="547"/>
      <c r="D35" s="547"/>
      <c r="E35" s="547"/>
      <c r="F35" s="547"/>
      <c r="G35" s="547"/>
      <c r="H35" s="547"/>
      <c r="I35" s="547"/>
      <c r="J35" s="532">
        <f t="shared" si="5"/>
        <v>1039796.3842000001</v>
      </c>
      <c r="K35" s="532">
        <f>K36+K37</f>
        <v>878433</v>
      </c>
      <c r="L35" s="532">
        <f>L36+L37</f>
        <v>0</v>
      </c>
      <c r="M35" s="532">
        <f>M36+M37</f>
        <v>0</v>
      </c>
      <c r="N35" s="532">
        <f>N36+N37</f>
        <v>797233</v>
      </c>
      <c r="O35" s="532">
        <f>O36+O37</f>
        <v>242563.38420000006</v>
      </c>
      <c r="P35" s="532">
        <f t="shared" si="7"/>
        <v>0</v>
      </c>
      <c r="Q35" s="532">
        <f t="shared" si="8"/>
        <v>0</v>
      </c>
      <c r="R35" s="532">
        <f t="shared" si="8"/>
        <v>0</v>
      </c>
      <c r="S35" s="533">
        <f t="shared" si="6"/>
        <v>1039796.3842000001</v>
      </c>
      <c r="T35" s="532">
        <f>T36+T37</f>
        <v>797233</v>
      </c>
      <c r="U35" s="532">
        <f>U36+U37</f>
        <v>242563.38420000006</v>
      </c>
      <c r="V35" s="613">
        <v>1039796.3842000001</v>
      </c>
      <c r="W35" s="613">
        <v>1039796.3842000001</v>
      </c>
      <c r="X35" s="614"/>
      <c r="Y35" s="534">
        <f t="shared" si="0"/>
        <v>0</v>
      </c>
      <c r="Z35" s="534">
        <f t="shared" si="1"/>
        <v>0</v>
      </c>
      <c r="AA35" s="613">
        <v>987806.56498999998</v>
      </c>
      <c r="AB35" s="534">
        <f t="shared" si="2"/>
        <v>0.95</v>
      </c>
      <c r="AC35" s="614"/>
      <c r="AD35" s="551"/>
      <c r="AE35" s="511"/>
      <c r="AF35" s="511"/>
      <c r="AG35" s="552"/>
      <c r="AH35" s="554"/>
      <c r="AI35" s="554"/>
      <c r="AJ35" s="554"/>
      <c r="AK35" s="554"/>
      <c r="AL35" s="554"/>
      <c r="AM35" s="554"/>
    </row>
    <row r="36" spans="1:39" ht="21" hidden="1" customHeight="1" outlineLevel="1">
      <c r="A36" s="279" t="s">
        <v>1822</v>
      </c>
      <c r="B36" s="512" t="s">
        <v>1823</v>
      </c>
      <c r="C36" s="547">
        <v>943304.31504999998</v>
      </c>
      <c r="D36" s="547">
        <f>F36+G36+H36+I36</f>
        <v>887904.31499999994</v>
      </c>
      <c r="E36" s="547">
        <f>F36+G36+H36</f>
        <v>829333.11499999999</v>
      </c>
      <c r="F36" s="547">
        <f>'[1]PL5.1 chuyen tiep 16-20 (IN)'!CK14</f>
        <v>367742.14600000001</v>
      </c>
      <c r="G36" s="547">
        <f>'[1]PL5.1 chuyen tiep 16-20 (IN)'!CO14</f>
        <v>302120.88199999998</v>
      </c>
      <c r="H36" s="547">
        <f>'[1]PL5.1 chuyen tiep 16-20 (IN)'!CR14</f>
        <v>159470.087</v>
      </c>
      <c r="I36" s="547">
        <f>'[1]PL5.1 chuyen tiep 16-20 (IN)'!CV14</f>
        <v>58571.199999999997</v>
      </c>
      <c r="J36" s="548">
        <f t="shared" si="5"/>
        <v>50000</v>
      </c>
      <c r="K36" s="548">
        <v>50000</v>
      </c>
      <c r="L36" s="548"/>
      <c r="M36" s="548"/>
      <c r="N36" s="548">
        <f>K36+L36+M36</f>
        <v>50000</v>
      </c>
      <c r="O36" s="548"/>
      <c r="P36" s="548">
        <f t="shared" si="7"/>
        <v>0</v>
      </c>
      <c r="Q36" s="548">
        <f t="shared" si="8"/>
        <v>0</v>
      </c>
      <c r="R36" s="548">
        <f t="shared" si="8"/>
        <v>0</v>
      </c>
      <c r="S36" s="549">
        <f t="shared" si="6"/>
        <v>50000</v>
      </c>
      <c r="T36" s="548">
        <v>50000</v>
      </c>
      <c r="U36" s="548"/>
      <c r="V36" s="617">
        <v>50000</v>
      </c>
      <c r="W36" s="617">
        <v>50000</v>
      </c>
      <c r="X36" s="618"/>
      <c r="Y36" s="550">
        <f t="shared" si="0"/>
        <v>0</v>
      </c>
      <c r="Z36" s="550">
        <f t="shared" si="1"/>
        <v>0</v>
      </c>
      <c r="AA36" s="617">
        <v>47500</v>
      </c>
      <c r="AB36" s="550">
        <f t="shared" si="2"/>
        <v>0.95</v>
      </c>
      <c r="AC36" s="618"/>
      <c r="AD36" s="555"/>
      <c r="AE36" s="556"/>
      <c r="AF36" s="556"/>
      <c r="AG36" s="552"/>
      <c r="AH36" s="554"/>
      <c r="AI36" s="554"/>
      <c r="AJ36" s="554"/>
      <c r="AK36" s="554"/>
      <c r="AL36" s="554"/>
      <c r="AM36" s="554"/>
    </row>
    <row r="37" spans="1:39" ht="34.5" hidden="1" customHeight="1" outlineLevel="1">
      <c r="A37" s="279" t="s">
        <v>1824</v>
      </c>
      <c r="B37" s="512" t="s">
        <v>1825</v>
      </c>
      <c r="C37" s="547">
        <v>3466187.6096263998</v>
      </c>
      <c r="D37" s="547"/>
      <c r="E37" s="547" t="e">
        <f>F37+G37+H37</f>
        <v>#REF!</v>
      </c>
      <c r="F37" s="547" t="e">
        <f>#REF!</f>
        <v>#REF!</v>
      </c>
      <c r="G37" s="547" t="e">
        <f>#REF!</f>
        <v>#REF!</v>
      </c>
      <c r="H37" s="547" t="e">
        <f>#REF!</f>
        <v>#REF!</v>
      </c>
      <c r="I37" s="547" t="e">
        <f>#REF!</f>
        <v>#REF!</v>
      </c>
      <c r="J37" s="548">
        <f t="shared" si="5"/>
        <v>989796.38420000009</v>
      </c>
      <c r="K37" s="548">
        <v>828433</v>
      </c>
      <c r="L37" s="548"/>
      <c r="M37" s="548"/>
      <c r="N37" s="548">
        <v>747233</v>
      </c>
      <c r="O37" s="548">
        <v>242563.38420000006</v>
      </c>
      <c r="P37" s="548">
        <f t="shared" si="7"/>
        <v>0</v>
      </c>
      <c r="Q37" s="548">
        <f t="shared" si="8"/>
        <v>0</v>
      </c>
      <c r="R37" s="548">
        <f t="shared" si="8"/>
        <v>0</v>
      </c>
      <c r="S37" s="549">
        <f t="shared" si="6"/>
        <v>989796.38420000009</v>
      </c>
      <c r="T37" s="548">
        <v>747233</v>
      </c>
      <c r="U37" s="548">
        <v>242563.38420000006</v>
      </c>
      <c r="V37" s="617">
        <v>989796.38420000009</v>
      </c>
      <c r="W37" s="617">
        <v>989796.38420000009</v>
      </c>
      <c r="X37" s="618"/>
      <c r="Y37" s="550">
        <f t="shared" si="0"/>
        <v>0</v>
      </c>
      <c r="Z37" s="550">
        <f t="shared" si="1"/>
        <v>0</v>
      </c>
      <c r="AA37" s="617">
        <v>940306.56498999998</v>
      </c>
      <c r="AB37" s="550">
        <f t="shared" si="2"/>
        <v>0.94999999999999984</v>
      </c>
      <c r="AC37" s="618"/>
      <c r="AD37" s="535"/>
      <c r="AE37" s="556"/>
      <c r="AF37" s="556"/>
      <c r="AG37" s="552"/>
      <c r="AH37" s="557"/>
      <c r="AI37" s="554"/>
      <c r="AJ37" s="554"/>
      <c r="AK37" s="554"/>
      <c r="AL37" s="554"/>
      <c r="AM37" s="554"/>
    </row>
    <row r="38" spans="1:39" ht="22.65" hidden="1" customHeight="1" outlineLevel="1">
      <c r="A38" s="280">
        <v>6</v>
      </c>
      <c r="B38" s="524" t="s">
        <v>1581</v>
      </c>
      <c r="C38" s="526">
        <v>25000</v>
      </c>
      <c r="D38" s="526" t="e">
        <f t="shared" si="3"/>
        <v>#REF!</v>
      </c>
      <c r="E38" s="526" t="e">
        <f t="shared" si="4"/>
        <v>#REF!</v>
      </c>
      <c r="F38" s="526" t="e">
        <f>#REF!</f>
        <v>#REF!</v>
      </c>
      <c r="G38" s="526" t="e">
        <f>#REF!</f>
        <v>#REF!</v>
      </c>
      <c r="H38" s="526" t="e">
        <f>#REF!</f>
        <v>#REF!</v>
      </c>
      <c r="I38" s="558">
        <f>1200-500+1000</f>
        <v>1700</v>
      </c>
      <c r="J38" s="532">
        <f t="shared" si="5"/>
        <v>9389</v>
      </c>
      <c r="K38" s="532">
        <v>8900</v>
      </c>
      <c r="L38" s="532"/>
      <c r="M38" s="532"/>
      <c r="N38" s="532">
        <f>K38+L38+M38</f>
        <v>8900</v>
      </c>
      <c r="O38" s="532">
        <v>489</v>
      </c>
      <c r="P38" s="532">
        <f t="shared" si="7"/>
        <v>0</v>
      </c>
      <c r="Q38" s="532">
        <f t="shared" si="8"/>
        <v>0</v>
      </c>
      <c r="R38" s="532">
        <f t="shared" si="8"/>
        <v>0</v>
      </c>
      <c r="S38" s="533">
        <f t="shared" si="6"/>
        <v>9389</v>
      </c>
      <c r="T38" s="532">
        <v>8900</v>
      </c>
      <c r="U38" s="532">
        <v>489</v>
      </c>
      <c r="V38" s="613">
        <v>9389</v>
      </c>
      <c r="W38" s="613">
        <v>9389</v>
      </c>
      <c r="X38" s="614"/>
      <c r="Y38" s="534">
        <f t="shared" si="0"/>
        <v>0</v>
      </c>
      <c r="Z38" s="534">
        <f t="shared" si="1"/>
        <v>0</v>
      </c>
      <c r="AA38" s="613">
        <v>8919.5499999999993</v>
      </c>
      <c r="AB38" s="534">
        <f t="shared" si="2"/>
        <v>0.95</v>
      </c>
      <c r="AC38" s="614"/>
      <c r="AD38" s="535"/>
      <c r="AE38" s="511"/>
      <c r="AF38" s="511"/>
      <c r="AG38" s="529"/>
      <c r="AH38" s="530"/>
      <c r="AI38" s="531"/>
      <c r="AJ38" s="531"/>
      <c r="AK38" s="531"/>
      <c r="AL38" s="531"/>
      <c r="AM38" s="531"/>
    </row>
    <row r="39" spans="1:39" ht="20.25" hidden="1" customHeight="1" outlineLevel="1" collapsed="1">
      <c r="A39" s="280">
        <v>7</v>
      </c>
      <c r="B39" s="524" t="s">
        <v>1826</v>
      </c>
      <c r="C39" s="526">
        <v>3501187.6096263998</v>
      </c>
      <c r="D39" s="526" t="e">
        <f>F39+G39+H39+I39</f>
        <v>#REF!</v>
      </c>
      <c r="E39" s="526" t="e">
        <f t="shared" si="4"/>
        <v>#REF!</v>
      </c>
      <c r="F39" s="526" t="e">
        <f>F37+#REF!</f>
        <v>#REF!</v>
      </c>
      <c r="G39" s="526" t="e">
        <f>G37+#REF!</f>
        <v>#REF!</v>
      </c>
      <c r="H39" s="526" t="e">
        <f>H37+#REF!</f>
        <v>#REF!</v>
      </c>
      <c r="I39" s="526" t="e">
        <f>#REF!</f>
        <v>#REF!</v>
      </c>
      <c r="J39" s="532">
        <f t="shared" si="5"/>
        <v>381894</v>
      </c>
      <c r="K39" s="532">
        <v>257394</v>
      </c>
      <c r="L39" s="532"/>
      <c r="M39" s="532">
        <v>17400</v>
      </c>
      <c r="N39" s="559">
        <v>355994</v>
      </c>
      <c r="O39" s="532">
        <v>25900</v>
      </c>
      <c r="P39" s="532">
        <f t="shared" si="7"/>
        <v>0</v>
      </c>
      <c r="Q39" s="532">
        <f t="shared" si="8"/>
        <v>0</v>
      </c>
      <c r="R39" s="532">
        <f t="shared" si="8"/>
        <v>0</v>
      </c>
      <c r="S39" s="533">
        <f t="shared" si="6"/>
        <v>381894</v>
      </c>
      <c r="T39" s="532">
        <v>355994</v>
      </c>
      <c r="U39" s="532">
        <v>25900</v>
      </c>
      <c r="V39" s="613">
        <v>381894</v>
      </c>
      <c r="W39" s="613">
        <v>381894</v>
      </c>
      <c r="X39" s="614"/>
      <c r="Y39" s="534">
        <f t="shared" si="0"/>
        <v>0</v>
      </c>
      <c r="Z39" s="534">
        <f t="shared" si="1"/>
        <v>0</v>
      </c>
      <c r="AA39" s="613">
        <v>362799.3</v>
      </c>
      <c r="AB39" s="534">
        <f t="shared" si="2"/>
        <v>0.95</v>
      </c>
      <c r="AC39" s="614"/>
      <c r="AD39" s="535"/>
      <c r="AE39" s="511"/>
      <c r="AF39" s="511"/>
      <c r="AG39" s="560"/>
      <c r="AH39" s="561"/>
      <c r="AI39" s="562"/>
      <c r="AJ39" s="562"/>
      <c r="AK39" s="562"/>
      <c r="AL39" s="562"/>
      <c r="AM39" s="562"/>
    </row>
    <row r="40" spans="1:39" ht="36.75" hidden="1" customHeight="1" outlineLevel="1">
      <c r="A40" s="280">
        <v>8</v>
      </c>
      <c r="B40" s="524" t="s">
        <v>1827</v>
      </c>
      <c r="C40" s="526"/>
      <c r="D40" s="526"/>
      <c r="E40" s="526"/>
      <c r="F40" s="526"/>
      <c r="G40" s="526"/>
      <c r="H40" s="526"/>
      <c r="I40" s="526"/>
      <c r="J40" s="532">
        <f t="shared" si="5"/>
        <v>40000</v>
      </c>
      <c r="K40" s="532">
        <v>40000</v>
      </c>
      <c r="L40" s="532"/>
      <c r="M40" s="532"/>
      <c r="N40" s="532">
        <f>K40+L40+M40</f>
        <v>40000</v>
      </c>
      <c r="O40" s="532"/>
      <c r="P40" s="532">
        <f t="shared" si="7"/>
        <v>0</v>
      </c>
      <c r="Q40" s="532">
        <f t="shared" si="8"/>
        <v>0</v>
      </c>
      <c r="R40" s="532">
        <f t="shared" si="8"/>
        <v>0</v>
      </c>
      <c r="S40" s="533">
        <f t="shared" si="6"/>
        <v>40000</v>
      </c>
      <c r="T40" s="532">
        <v>40000</v>
      </c>
      <c r="U40" s="532"/>
      <c r="V40" s="613">
        <v>40000</v>
      </c>
      <c r="W40" s="613">
        <v>40000</v>
      </c>
      <c r="X40" s="614"/>
      <c r="Y40" s="534">
        <f t="shared" si="0"/>
        <v>0</v>
      </c>
      <c r="Z40" s="534">
        <f t="shared" si="1"/>
        <v>0</v>
      </c>
      <c r="AA40" s="613">
        <v>38000</v>
      </c>
      <c r="AB40" s="534">
        <f t="shared" si="2"/>
        <v>0.95</v>
      </c>
      <c r="AC40" s="614"/>
      <c r="AD40" s="551"/>
      <c r="AE40" s="511"/>
      <c r="AF40" s="511"/>
      <c r="AG40" s="560"/>
      <c r="AH40" s="561"/>
      <c r="AI40" s="562"/>
      <c r="AJ40" s="562"/>
      <c r="AK40" s="562"/>
      <c r="AL40" s="562"/>
      <c r="AM40" s="562"/>
    </row>
    <row r="41" spans="1:39" ht="15.6" hidden="1" outlineLevel="1">
      <c r="A41" s="280">
        <v>9</v>
      </c>
      <c r="B41" s="537" t="s">
        <v>1828</v>
      </c>
      <c r="C41" s="526"/>
      <c r="D41" s="526"/>
      <c r="E41" s="526"/>
      <c r="F41" s="526"/>
      <c r="G41" s="526"/>
      <c r="H41" s="526"/>
      <c r="I41" s="526"/>
      <c r="J41" s="532"/>
      <c r="K41" s="532"/>
      <c r="L41" s="532"/>
      <c r="M41" s="532"/>
      <c r="N41" s="532"/>
      <c r="O41" s="532"/>
      <c r="P41" s="532">
        <f t="shared" si="7"/>
        <v>259295.47200000001</v>
      </c>
      <c r="Q41" s="532">
        <f t="shared" si="8"/>
        <v>259295.47200000001</v>
      </c>
      <c r="R41" s="532">
        <f t="shared" si="8"/>
        <v>0</v>
      </c>
      <c r="S41" s="533">
        <f t="shared" si="6"/>
        <v>259295.47200000001</v>
      </c>
      <c r="T41" s="532">
        <f>'[2]PLTH-HUYEN GIAO'!BB20</f>
        <v>259295.47200000001</v>
      </c>
      <c r="U41" s="532">
        <f>'[2]PLTH-HUYEN GIAO'!BB25</f>
        <v>0</v>
      </c>
      <c r="V41" s="613">
        <v>259295.47200000001</v>
      </c>
      <c r="W41" s="613">
        <v>259295.47200000001</v>
      </c>
      <c r="X41" s="614"/>
      <c r="Y41" s="534">
        <f t="shared" si="0"/>
        <v>0</v>
      </c>
      <c r="Z41" s="534">
        <f t="shared" si="1"/>
        <v>0</v>
      </c>
      <c r="AA41" s="613">
        <v>246330.69839999999</v>
      </c>
      <c r="AB41" s="534">
        <f t="shared" si="2"/>
        <v>0.95</v>
      </c>
      <c r="AC41" s="614"/>
      <c r="AD41" s="551"/>
      <c r="AE41" s="511"/>
      <c r="AF41" s="511"/>
      <c r="AG41" s="560"/>
      <c r="AH41" s="561"/>
      <c r="AI41" s="562"/>
      <c r="AJ41" s="562"/>
      <c r="AK41" s="562"/>
      <c r="AL41" s="562"/>
      <c r="AM41" s="562"/>
    </row>
    <row r="42" spans="1:39" ht="14.25" hidden="1" customHeight="1" outlineLevel="1">
      <c r="A42" s="280">
        <v>10</v>
      </c>
      <c r="B42" s="537" t="s">
        <v>1829</v>
      </c>
      <c r="C42" s="526"/>
      <c r="D42" s="526"/>
      <c r="E42" s="526"/>
      <c r="F42" s="526"/>
      <c r="G42" s="526"/>
      <c r="H42" s="526"/>
      <c r="I42" s="526"/>
      <c r="J42" s="532"/>
      <c r="K42" s="532"/>
      <c r="L42" s="532"/>
      <c r="M42" s="532"/>
      <c r="N42" s="532"/>
      <c r="O42" s="532"/>
      <c r="P42" s="532">
        <f t="shared" si="7"/>
        <v>3331.2057010000012</v>
      </c>
      <c r="Q42" s="532">
        <f>T42-N42+0.0241318177431822</f>
        <v>1753.6841318177442</v>
      </c>
      <c r="R42" s="532">
        <f t="shared" si="8"/>
        <v>1577.5457010000002</v>
      </c>
      <c r="S42" s="533">
        <f t="shared" si="6"/>
        <v>3331.2057010000012</v>
      </c>
      <c r="T42" s="532">
        <f>'[2]PLTH-HUYEN GIAO'!BB23</f>
        <v>1753.660000000001</v>
      </c>
      <c r="U42" s="532">
        <f>'[2]PLTH-HUYEN GIAO'!BB28</f>
        <v>1577.5457010000002</v>
      </c>
      <c r="V42" s="613">
        <v>3331.2057010000012</v>
      </c>
      <c r="W42" s="613">
        <v>3331.2057010000012</v>
      </c>
      <c r="X42" s="614"/>
      <c r="Y42" s="534">
        <f t="shared" si="0"/>
        <v>0</v>
      </c>
      <c r="Z42" s="534">
        <f t="shared" si="1"/>
        <v>0</v>
      </c>
      <c r="AA42" s="613">
        <v>3164.6454159500008</v>
      </c>
      <c r="AB42" s="534">
        <f t="shared" si="2"/>
        <v>0.94999999999999984</v>
      </c>
      <c r="AC42" s="614"/>
      <c r="AD42" s="551"/>
      <c r="AE42" s="511"/>
      <c r="AF42" s="511"/>
      <c r="AG42" s="560"/>
      <c r="AH42" s="561"/>
      <c r="AI42" s="562"/>
      <c r="AJ42" s="562"/>
      <c r="AK42" s="562"/>
      <c r="AL42" s="562"/>
      <c r="AM42" s="562"/>
    </row>
    <row r="43" spans="1:39" ht="35.4" customHeight="1" collapsed="1">
      <c r="A43" s="505">
        <v>2</v>
      </c>
      <c r="B43" s="506" t="s">
        <v>1664</v>
      </c>
      <c r="C43" s="528">
        <v>241200</v>
      </c>
      <c r="D43" s="528">
        <f t="shared" si="3"/>
        <v>385100</v>
      </c>
      <c r="E43" s="528">
        <f t="shared" si="4"/>
        <v>273100</v>
      </c>
      <c r="F43" s="528">
        <f>F44+F45</f>
        <v>78100</v>
      </c>
      <c r="G43" s="528">
        <f>G44+G45</f>
        <v>95000</v>
      </c>
      <c r="H43" s="528">
        <f>H44+H45</f>
        <v>100000</v>
      </c>
      <c r="I43" s="528">
        <f>I44+I45</f>
        <v>112000</v>
      </c>
      <c r="J43" s="507">
        <f t="shared" si="5"/>
        <v>207000</v>
      </c>
      <c r="K43" s="507">
        <f>K44+K45</f>
        <v>125000</v>
      </c>
      <c r="L43" s="507">
        <f>L44+L45</f>
        <v>0</v>
      </c>
      <c r="M43" s="507">
        <f>M44+M45</f>
        <v>0</v>
      </c>
      <c r="N43" s="507">
        <f>N44+N45</f>
        <v>125000</v>
      </c>
      <c r="O43" s="507">
        <f>O44+O45</f>
        <v>82000</v>
      </c>
      <c r="P43" s="507">
        <f t="shared" si="7"/>
        <v>0</v>
      </c>
      <c r="Q43" s="507">
        <f t="shared" si="8"/>
        <v>0</v>
      </c>
      <c r="R43" s="507">
        <f t="shared" si="8"/>
        <v>0</v>
      </c>
      <c r="S43" s="508">
        <f>S44+S45</f>
        <v>207000</v>
      </c>
      <c r="T43" s="507">
        <f>T44+T45</f>
        <v>125000</v>
      </c>
      <c r="U43" s="507">
        <f>U44+U45</f>
        <v>82000</v>
      </c>
      <c r="V43" s="607">
        <v>207000</v>
      </c>
      <c r="W43" s="607">
        <v>207000</v>
      </c>
      <c r="X43" s="612">
        <v>144900</v>
      </c>
      <c r="Y43" s="509">
        <f t="shared" si="0"/>
        <v>0.7</v>
      </c>
      <c r="Z43" s="509">
        <f t="shared" si="1"/>
        <v>0.7</v>
      </c>
      <c r="AA43" s="607">
        <v>196650</v>
      </c>
      <c r="AB43" s="509">
        <f t="shared" si="2"/>
        <v>0.95</v>
      </c>
      <c r="AC43" s="612">
        <v>277000</v>
      </c>
      <c r="AD43" s="551"/>
      <c r="AE43" s="511"/>
      <c r="AF43" s="511"/>
      <c r="AG43" s="529"/>
      <c r="AH43" s="530"/>
      <c r="AI43" s="531"/>
      <c r="AJ43" s="531"/>
      <c r="AK43" s="531"/>
      <c r="AL43" s="531"/>
      <c r="AM43" s="531"/>
    </row>
    <row r="44" spans="1:39" ht="63" hidden="1" customHeight="1" outlineLevel="1">
      <c r="A44" s="536" t="s">
        <v>1660</v>
      </c>
      <c r="B44" s="537" t="s">
        <v>1830</v>
      </c>
      <c r="C44" s="538">
        <v>278900</v>
      </c>
      <c r="D44" s="538">
        <f t="shared" si="3"/>
        <v>148100</v>
      </c>
      <c r="E44" s="538">
        <f t="shared" si="4"/>
        <v>118100</v>
      </c>
      <c r="F44" s="538">
        <f>'[1]PL7 XSKT'!CJ13</f>
        <v>38100</v>
      </c>
      <c r="G44" s="538">
        <f>'[1]PL7 XSKT'!CK13</f>
        <v>40000</v>
      </c>
      <c r="H44" s="538">
        <f>'[1]PL7 XSKT'!CL13</f>
        <v>40000</v>
      </c>
      <c r="I44" s="538">
        <f>'[1]PL7 XSKT'!CM13</f>
        <v>30000</v>
      </c>
      <c r="J44" s="539">
        <f t="shared" si="5"/>
        <v>84900</v>
      </c>
      <c r="K44" s="539">
        <f>'[1]PL7 XSKT'!CN13</f>
        <v>84900</v>
      </c>
      <c r="L44" s="539"/>
      <c r="M44" s="539"/>
      <c r="N44" s="539">
        <f>K44+L44+M44</f>
        <v>84900</v>
      </c>
      <c r="O44" s="539"/>
      <c r="P44" s="539">
        <f t="shared" si="7"/>
        <v>0</v>
      </c>
      <c r="Q44" s="539">
        <f t="shared" si="8"/>
        <v>0</v>
      </c>
      <c r="R44" s="539">
        <f t="shared" si="8"/>
        <v>0</v>
      </c>
      <c r="S44" s="540">
        <f t="shared" si="6"/>
        <v>84900</v>
      </c>
      <c r="T44" s="539">
        <v>84900</v>
      </c>
      <c r="U44" s="539"/>
      <c r="V44" s="615">
        <v>84900</v>
      </c>
      <c r="W44" s="615">
        <v>84900</v>
      </c>
      <c r="X44" s="616"/>
      <c r="Y44" s="541">
        <f t="shared" si="0"/>
        <v>0</v>
      </c>
      <c r="Z44" s="541">
        <f t="shared" si="1"/>
        <v>0</v>
      </c>
      <c r="AA44" s="615">
        <v>80655</v>
      </c>
      <c r="AB44" s="541">
        <f t="shared" si="2"/>
        <v>0.95</v>
      </c>
      <c r="AC44" s="616"/>
      <c r="AD44" s="563"/>
      <c r="AE44" s="543"/>
      <c r="AF44" s="543"/>
      <c r="AG44" s="564"/>
      <c r="AH44" s="565"/>
      <c r="AI44" s="565"/>
      <c r="AJ44" s="565"/>
      <c r="AK44" s="565"/>
      <c r="AL44" s="565"/>
      <c r="AM44" s="565"/>
    </row>
    <row r="45" spans="1:39" ht="30.75" hidden="1" customHeight="1" outlineLevel="1">
      <c r="A45" s="536" t="s">
        <v>1661</v>
      </c>
      <c r="B45" s="566" t="s">
        <v>1831</v>
      </c>
      <c r="C45" s="538">
        <v>45195.510999999999</v>
      </c>
      <c r="D45" s="538">
        <f t="shared" si="3"/>
        <v>237000</v>
      </c>
      <c r="E45" s="538">
        <f t="shared" si="4"/>
        <v>155000</v>
      </c>
      <c r="F45" s="538">
        <f>'[1]PL7 XSKT'!CJ22</f>
        <v>40000</v>
      </c>
      <c r="G45" s="538">
        <f t="shared" ref="G45:O45" si="10">G46+G47</f>
        <v>55000</v>
      </c>
      <c r="H45" s="538">
        <f t="shared" si="10"/>
        <v>60000</v>
      </c>
      <c r="I45" s="538">
        <f t="shared" si="10"/>
        <v>82000</v>
      </c>
      <c r="J45" s="539">
        <f t="shared" si="5"/>
        <v>122100</v>
      </c>
      <c r="K45" s="539">
        <f t="shared" si="10"/>
        <v>40100</v>
      </c>
      <c r="L45" s="539">
        <f t="shared" si="10"/>
        <v>0</v>
      </c>
      <c r="M45" s="539">
        <f t="shared" si="10"/>
        <v>0</v>
      </c>
      <c r="N45" s="539">
        <f t="shared" si="10"/>
        <v>40100</v>
      </c>
      <c r="O45" s="539">
        <f t="shared" si="10"/>
        <v>82000</v>
      </c>
      <c r="P45" s="539">
        <f t="shared" si="7"/>
        <v>0</v>
      </c>
      <c r="Q45" s="539">
        <f t="shared" si="8"/>
        <v>0</v>
      </c>
      <c r="R45" s="539">
        <f t="shared" si="8"/>
        <v>0</v>
      </c>
      <c r="S45" s="540">
        <f>S46+S47</f>
        <v>122100</v>
      </c>
      <c r="T45" s="539">
        <f>T46+T47</f>
        <v>40100</v>
      </c>
      <c r="U45" s="539">
        <f>U46+U47</f>
        <v>82000</v>
      </c>
      <c r="V45" s="615">
        <v>122100</v>
      </c>
      <c r="W45" s="615">
        <v>122100</v>
      </c>
      <c r="X45" s="616"/>
      <c r="Y45" s="541">
        <f t="shared" si="0"/>
        <v>0</v>
      </c>
      <c r="Z45" s="541">
        <f t="shared" si="1"/>
        <v>0</v>
      </c>
      <c r="AA45" s="615">
        <v>115995</v>
      </c>
      <c r="AB45" s="541">
        <f t="shared" si="2"/>
        <v>0.95</v>
      </c>
      <c r="AC45" s="616"/>
      <c r="AD45" s="542"/>
      <c r="AE45" s="543"/>
      <c r="AF45" s="543"/>
      <c r="AG45" s="564"/>
      <c r="AH45" s="565"/>
      <c r="AI45" s="565"/>
      <c r="AJ45" s="565"/>
      <c r="AK45" s="565"/>
      <c r="AL45" s="565"/>
      <c r="AM45" s="565"/>
    </row>
    <row r="46" spans="1:39" ht="20.25" hidden="1" customHeight="1" outlineLevel="1">
      <c r="A46" s="536">
        <v>1</v>
      </c>
      <c r="B46" s="537" t="s">
        <v>1832</v>
      </c>
      <c r="C46" s="538">
        <v>233704.489</v>
      </c>
      <c r="D46" s="538">
        <f t="shared" si="3"/>
        <v>45195.510999999999</v>
      </c>
      <c r="E46" s="538">
        <f t="shared" si="4"/>
        <v>45195.510999999999</v>
      </c>
      <c r="F46" s="538">
        <f>'[1]PL7 XSKT'!CJ22</f>
        <v>40000</v>
      </c>
      <c r="G46" s="538">
        <f>'[1]PL7 XSKT'!CK22</f>
        <v>5195.5109999999995</v>
      </c>
      <c r="H46" s="538">
        <f>'[1]PL7 XSKT'!CL22</f>
        <v>0</v>
      </c>
      <c r="I46" s="538">
        <f>'[1]PL7 XSKT'!CM22</f>
        <v>0</v>
      </c>
      <c r="J46" s="539">
        <f t="shared" si="5"/>
        <v>32000</v>
      </c>
      <c r="K46" s="539">
        <f>'[1]PL7 XSKT'!CN22</f>
        <v>0</v>
      </c>
      <c r="L46" s="539"/>
      <c r="M46" s="539"/>
      <c r="N46" s="539">
        <f>K46+L46+M46</f>
        <v>0</v>
      </c>
      <c r="O46" s="539">
        <v>32000</v>
      </c>
      <c r="P46" s="539">
        <f t="shared" si="7"/>
        <v>0</v>
      </c>
      <c r="Q46" s="539">
        <f t="shared" si="8"/>
        <v>0</v>
      </c>
      <c r="R46" s="539">
        <f t="shared" si="8"/>
        <v>0</v>
      </c>
      <c r="S46" s="540">
        <f t="shared" si="6"/>
        <v>32000</v>
      </c>
      <c r="T46" s="539">
        <v>0</v>
      </c>
      <c r="U46" s="539">
        <v>32000</v>
      </c>
      <c r="V46" s="615">
        <v>32000</v>
      </c>
      <c r="W46" s="615">
        <v>32000</v>
      </c>
      <c r="X46" s="616"/>
      <c r="Y46" s="541">
        <f t="shared" si="0"/>
        <v>0</v>
      </c>
      <c r="Z46" s="541">
        <f t="shared" si="1"/>
        <v>0</v>
      </c>
      <c r="AA46" s="615">
        <v>30400</v>
      </c>
      <c r="AB46" s="541">
        <f t="shared" si="2"/>
        <v>0.95</v>
      </c>
      <c r="AC46" s="616"/>
      <c r="AD46" s="563"/>
      <c r="AE46" s="543"/>
      <c r="AF46" s="543"/>
      <c r="AG46" s="564" t="e">
        <f>'[2]PLTH-HUYEN GIAO'!#REF!</f>
        <v>#REF!</v>
      </c>
      <c r="AH46" s="567"/>
      <c r="AI46" s="565"/>
      <c r="AJ46" s="565"/>
      <c r="AK46" s="565"/>
      <c r="AL46" s="565"/>
      <c r="AM46" s="565"/>
    </row>
    <row r="47" spans="1:39" ht="18.75" hidden="1" customHeight="1" outlineLevel="1">
      <c r="A47" s="536">
        <v>2</v>
      </c>
      <c r="B47" s="537" t="s">
        <v>1833</v>
      </c>
      <c r="C47" s="538">
        <v>198404.489</v>
      </c>
      <c r="D47" s="538">
        <f t="shared" si="3"/>
        <v>191804.489</v>
      </c>
      <c r="E47" s="538">
        <f t="shared" si="4"/>
        <v>109804.489</v>
      </c>
      <c r="F47" s="538">
        <f>F48+F49</f>
        <v>0</v>
      </c>
      <c r="G47" s="538">
        <f>G48+G49</f>
        <v>49804.489000000001</v>
      </c>
      <c r="H47" s="538">
        <f>H48+H49</f>
        <v>60000</v>
      </c>
      <c r="I47" s="538">
        <f>I48+I49</f>
        <v>82000</v>
      </c>
      <c r="J47" s="539">
        <f t="shared" si="5"/>
        <v>90100</v>
      </c>
      <c r="K47" s="539">
        <f>'[1]PL7 XSKT'!CN28</f>
        <v>40100</v>
      </c>
      <c r="L47" s="539"/>
      <c r="M47" s="539"/>
      <c r="N47" s="539">
        <f>K47+L47+M47</f>
        <v>40100</v>
      </c>
      <c r="O47" s="539">
        <v>50000</v>
      </c>
      <c r="P47" s="539">
        <f t="shared" si="7"/>
        <v>0</v>
      </c>
      <c r="Q47" s="539">
        <f t="shared" si="8"/>
        <v>0</v>
      </c>
      <c r="R47" s="539">
        <f t="shared" si="8"/>
        <v>0</v>
      </c>
      <c r="S47" s="540">
        <f t="shared" si="6"/>
        <v>90100</v>
      </c>
      <c r="T47" s="539">
        <v>40100</v>
      </c>
      <c r="U47" s="539">
        <v>50000</v>
      </c>
      <c r="V47" s="615">
        <v>90100</v>
      </c>
      <c r="W47" s="615">
        <v>90100</v>
      </c>
      <c r="X47" s="616"/>
      <c r="Y47" s="541">
        <f t="shared" si="0"/>
        <v>0</v>
      </c>
      <c r="Z47" s="541">
        <f t="shared" si="1"/>
        <v>0</v>
      </c>
      <c r="AA47" s="615">
        <v>85595</v>
      </c>
      <c r="AB47" s="541">
        <f t="shared" si="2"/>
        <v>0.95</v>
      </c>
      <c r="AC47" s="616"/>
      <c r="AD47" s="542"/>
      <c r="AE47" s="543"/>
      <c r="AF47" s="543"/>
      <c r="AG47" s="529"/>
      <c r="AH47" s="568"/>
      <c r="AI47" s="565"/>
      <c r="AJ47" s="565"/>
      <c r="AK47" s="565"/>
      <c r="AL47" s="565"/>
      <c r="AM47" s="565"/>
    </row>
    <row r="48" spans="1:39" ht="16.5" hidden="1" customHeight="1" collapsed="1">
      <c r="A48" s="525"/>
      <c r="B48" s="512" t="s">
        <v>1834</v>
      </c>
      <c r="C48" s="526">
        <v>35300</v>
      </c>
      <c r="D48" s="526">
        <f t="shared" si="3"/>
        <v>179404.489</v>
      </c>
      <c r="E48" s="526">
        <f t="shared" si="4"/>
        <v>109804.489</v>
      </c>
      <c r="F48" s="526">
        <f>'[1]PL7 XSKT'!CJ28</f>
        <v>0</v>
      </c>
      <c r="G48" s="526">
        <f>'[1]PL7 XSKT'!CK28</f>
        <v>49804.489000000001</v>
      </c>
      <c r="H48" s="526">
        <f>'[1]PL7 XSKT'!CL28</f>
        <v>60000</v>
      </c>
      <c r="I48" s="526">
        <f>'[1]PL7 XSKT'!CM29</f>
        <v>69600</v>
      </c>
      <c r="J48" s="548">
        <f t="shared" si="5"/>
        <v>0</v>
      </c>
      <c r="K48" s="548"/>
      <c r="L48" s="548"/>
      <c r="M48" s="548"/>
      <c r="N48" s="548"/>
      <c r="O48" s="548"/>
      <c r="P48" s="548">
        <f t="shared" si="7"/>
        <v>0</v>
      </c>
      <c r="Q48" s="548">
        <f t="shared" si="8"/>
        <v>0</v>
      </c>
      <c r="R48" s="548">
        <f t="shared" si="8"/>
        <v>0</v>
      </c>
      <c r="S48" s="549">
        <f t="shared" si="6"/>
        <v>0</v>
      </c>
      <c r="T48" s="548"/>
      <c r="U48" s="548"/>
      <c r="V48" s="617">
        <v>0</v>
      </c>
      <c r="W48" s="617">
        <v>0</v>
      </c>
      <c r="X48" s="618"/>
      <c r="Y48" s="550" t="e">
        <f t="shared" si="0"/>
        <v>#DIV/0!</v>
      </c>
      <c r="Z48" s="550" t="e">
        <f t="shared" si="1"/>
        <v>#DIV/0!</v>
      </c>
      <c r="AA48" s="617">
        <v>0</v>
      </c>
      <c r="AB48" s="550" t="e">
        <f t="shared" si="2"/>
        <v>#DIV/0!</v>
      </c>
      <c r="AC48" s="618"/>
      <c r="AD48" s="551"/>
      <c r="AE48" s="511"/>
      <c r="AF48" s="511"/>
      <c r="AG48" s="569"/>
      <c r="AH48" s="562"/>
      <c r="AI48" s="562"/>
      <c r="AJ48" s="562"/>
      <c r="AK48" s="562"/>
      <c r="AL48" s="562"/>
      <c r="AM48" s="562"/>
    </row>
    <row r="49" spans="1:39" ht="15" hidden="1" customHeight="1">
      <c r="A49" s="525"/>
      <c r="B49" s="512" t="s">
        <v>1835</v>
      </c>
      <c r="C49" s="526">
        <v>254631</v>
      </c>
      <c r="D49" s="526">
        <f t="shared" si="3"/>
        <v>12400</v>
      </c>
      <c r="E49" s="526">
        <f t="shared" si="4"/>
        <v>0</v>
      </c>
      <c r="F49" s="526">
        <f>'[1]PL7 XSKT'!CJ49</f>
        <v>0</v>
      </c>
      <c r="G49" s="526">
        <f>'[1]PL7 XSKT'!CK49</f>
        <v>0</v>
      </c>
      <c r="H49" s="526">
        <f>'[1]PL7 XSKT'!CL49</f>
        <v>0</v>
      </c>
      <c r="I49" s="526">
        <f>'[1]PL7 XSKT'!CM49</f>
        <v>12400</v>
      </c>
      <c r="J49" s="548">
        <f t="shared" si="5"/>
        <v>0</v>
      </c>
      <c r="K49" s="548"/>
      <c r="L49" s="548"/>
      <c r="M49" s="548"/>
      <c r="N49" s="548"/>
      <c r="O49" s="548"/>
      <c r="P49" s="548">
        <f t="shared" si="7"/>
        <v>0</v>
      </c>
      <c r="Q49" s="548">
        <f t="shared" si="8"/>
        <v>0</v>
      </c>
      <c r="R49" s="548">
        <f t="shared" si="8"/>
        <v>0</v>
      </c>
      <c r="S49" s="549">
        <f t="shared" si="6"/>
        <v>0</v>
      </c>
      <c r="T49" s="548"/>
      <c r="U49" s="548"/>
      <c r="V49" s="617">
        <v>0</v>
      </c>
      <c r="W49" s="617">
        <v>0</v>
      </c>
      <c r="X49" s="618"/>
      <c r="Y49" s="550" t="e">
        <f t="shared" si="0"/>
        <v>#DIV/0!</v>
      </c>
      <c r="Z49" s="550" t="e">
        <f t="shared" si="1"/>
        <v>#DIV/0!</v>
      </c>
      <c r="AA49" s="617">
        <v>0</v>
      </c>
      <c r="AB49" s="550" t="e">
        <f t="shared" si="2"/>
        <v>#DIV/0!</v>
      </c>
      <c r="AC49" s="618"/>
      <c r="AD49" s="551"/>
      <c r="AE49" s="511"/>
      <c r="AF49" s="511"/>
      <c r="AG49" s="569"/>
      <c r="AH49" s="562"/>
      <c r="AI49" s="562"/>
      <c r="AJ49" s="562"/>
      <c r="AK49" s="562"/>
      <c r="AL49" s="562"/>
      <c r="AM49" s="562"/>
    </row>
    <row r="50" spans="1:39" ht="37.5" customHeight="1">
      <c r="A50" s="505">
        <v>3</v>
      </c>
      <c r="B50" s="506" t="s">
        <v>1836</v>
      </c>
      <c r="C50" s="528">
        <v>3205580.5360000199</v>
      </c>
      <c r="D50" s="528" t="e">
        <f t="shared" si="3"/>
        <v>#REF!</v>
      </c>
      <c r="E50" s="528" t="e">
        <f t="shared" si="4"/>
        <v>#REF!</v>
      </c>
      <c r="F50" s="528" t="e">
        <f>F51+F55</f>
        <v>#REF!</v>
      </c>
      <c r="G50" s="528" t="e">
        <f>G51+G55</f>
        <v>#REF!</v>
      </c>
      <c r="H50" s="528" t="e">
        <f>H51+H55</f>
        <v>#REF!</v>
      </c>
      <c r="I50" s="528" t="e">
        <f>I51+I55</f>
        <v>#REF!</v>
      </c>
      <c r="J50" s="507">
        <f t="shared" ref="J50:O50" si="11">J51+J52+J53+J54+J55+J64</f>
        <v>3497161</v>
      </c>
      <c r="K50" s="507">
        <f t="shared" si="11"/>
        <v>1542000</v>
      </c>
      <c r="L50" s="507">
        <f t="shared" si="11"/>
        <v>-144000</v>
      </c>
      <c r="M50" s="507">
        <f t="shared" si="11"/>
        <v>144000</v>
      </c>
      <c r="N50" s="507">
        <f t="shared" si="11"/>
        <v>1542000</v>
      </c>
      <c r="O50" s="507">
        <f t="shared" si="11"/>
        <v>1955161</v>
      </c>
      <c r="P50" s="507">
        <f t="shared" si="7"/>
        <v>944206.68032300007</v>
      </c>
      <c r="Q50" s="507">
        <f t="shared" si="8"/>
        <v>232962.58190800017</v>
      </c>
      <c r="R50" s="507">
        <f t="shared" si="8"/>
        <v>711244.0984149999</v>
      </c>
      <c r="S50" s="508">
        <f>S51+S52+S53+S54+S55+S64</f>
        <v>4441367.6803230001</v>
      </c>
      <c r="T50" s="507">
        <f>T51+T52+T53+T54+T55+T64</f>
        <v>1774962.5819080002</v>
      </c>
      <c r="U50" s="507">
        <f>U51+U52+U53+U54+U55+U64</f>
        <v>2666405.0984149999</v>
      </c>
      <c r="V50" s="607">
        <v>1940000</v>
      </c>
      <c r="W50" s="607">
        <v>4442446</v>
      </c>
      <c r="X50" s="612">
        <v>388000</v>
      </c>
      <c r="Y50" s="509">
        <f t="shared" si="0"/>
        <v>0.2</v>
      </c>
      <c r="Z50" s="509">
        <f t="shared" si="1"/>
        <v>8.7339272103701432E-2</v>
      </c>
      <c r="AA50" s="607">
        <v>1843000</v>
      </c>
      <c r="AB50" s="509">
        <f t="shared" si="2"/>
        <v>0.95</v>
      </c>
      <c r="AC50" s="612">
        <v>1181500</v>
      </c>
      <c r="AD50" s="551"/>
      <c r="AE50" s="511">
        <f>T50-N50</f>
        <v>232962.58190800017</v>
      </c>
      <c r="AF50" s="511">
        <f>U50-O50</f>
        <v>711244.0984149999</v>
      </c>
      <c r="AG50" s="529">
        <f>AE50+AF50</f>
        <v>944206.68032300007</v>
      </c>
      <c r="AH50" s="570" t="e">
        <f>AG46-AG50</f>
        <v>#REF!</v>
      </c>
      <c r="AI50" s="531"/>
      <c r="AJ50" s="531"/>
      <c r="AK50" s="531"/>
      <c r="AL50" s="531"/>
      <c r="AM50" s="531"/>
    </row>
    <row r="51" spans="1:39" ht="23.4" hidden="1" customHeight="1" outlineLevel="1">
      <c r="A51" s="280" t="s">
        <v>1837</v>
      </c>
      <c r="B51" s="524" t="s">
        <v>1838</v>
      </c>
      <c r="C51" s="526">
        <v>6567754.8639999796</v>
      </c>
      <c r="D51" s="526" t="e">
        <f t="shared" si="3"/>
        <v>#REF!</v>
      </c>
      <c r="E51" s="526" t="e">
        <f t="shared" si="4"/>
        <v>#REF!</v>
      </c>
      <c r="F51" s="526" t="e">
        <f>#REF!</f>
        <v>#REF!</v>
      </c>
      <c r="G51" s="526" t="e">
        <f>#REF!</f>
        <v>#REF!</v>
      </c>
      <c r="H51" s="526" t="e">
        <f>#REF!</f>
        <v>#REF!</v>
      </c>
      <c r="I51" s="526" t="e">
        <f>#REF!</f>
        <v>#REF!</v>
      </c>
      <c r="J51" s="532">
        <f t="shared" si="5"/>
        <v>874200</v>
      </c>
      <c r="K51" s="532">
        <v>443000</v>
      </c>
      <c r="L51" s="532"/>
      <c r="M51" s="532"/>
      <c r="N51" s="532">
        <f>K51+L51+M51</f>
        <v>443000</v>
      </c>
      <c r="O51" s="532">
        <f>343200+88000</f>
        <v>431200</v>
      </c>
      <c r="P51" s="532">
        <f t="shared" si="7"/>
        <v>-348338.27852300007</v>
      </c>
      <c r="Q51" s="532">
        <f t="shared" si="8"/>
        <v>-418323.36699999997</v>
      </c>
      <c r="R51" s="532">
        <f t="shared" si="8"/>
        <v>69985.088476999954</v>
      </c>
      <c r="S51" s="533">
        <f>T51+U51</f>
        <v>525861.72147699993</v>
      </c>
      <c r="T51" s="532">
        <f>'[2]PLTH-HUYEN GIAO'!BC21</f>
        <v>24676.633000000002</v>
      </c>
      <c r="U51" s="532">
        <f>'[2]PLTH-HUYEN GIAO'!BC26</f>
        <v>501185.08847699995</v>
      </c>
      <c r="V51" s="613">
        <v>525861.72147699993</v>
      </c>
      <c r="W51" s="613">
        <v>525861.72147699993</v>
      </c>
      <c r="X51" s="614"/>
      <c r="Y51" s="534">
        <f t="shared" si="0"/>
        <v>0</v>
      </c>
      <c r="Z51" s="534">
        <f t="shared" si="1"/>
        <v>0</v>
      </c>
      <c r="AA51" s="613">
        <v>499568.63540314988</v>
      </c>
      <c r="AB51" s="534">
        <f t="shared" si="2"/>
        <v>0.95</v>
      </c>
      <c r="AC51" s="614"/>
      <c r="AD51" s="535"/>
      <c r="AE51" s="511"/>
      <c r="AF51" s="511"/>
      <c r="AG51" s="571"/>
      <c r="AH51" s="570"/>
      <c r="AI51" s="531"/>
      <c r="AJ51" s="531"/>
      <c r="AK51" s="531"/>
      <c r="AL51" s="531"/>
      <c r="AM51" s="531"/>
    </row>
    <row r="52" spans="1:39" ht="23.4" hidden="1" customHeight="1" outlineLevel="1">
      <c r="A52" s="280" t="s">
        <v>1839</v>
      </c>
      <c r="B52" s="524" t="s">
        <v>1840</v>
      </c>
      <c r="C52" s="526"/>
      <c r="D52" s="526"/>
      <c r="E52" s="526"/>
      <c r="F52" s="526"/>
      <c r="G52" s="526"/>
      <c r="H52" s="526"/>
      <c r="I52" s="526"/>
      <c r="J52" s="532">
        <f t="shared" si="5"/>
        <v>194213</v>
      </c>
      <c r="K52" s="532"/>
      <c r="L52" s="532"/>
      <c r="M52" s="532"/>
      <c r="N52" s="532"/>
      <c r="O52" s="532">
        <f>39000+155213</f>
        <v>194213</v>
      </c>
      <c r="P52" s="532">
        <f t="shared" si="7"/>
        <v>0</v>
      </c>
      <c r="Q52" s="532">
        <f t="shared" si="8"/>
        <v>0</v>
      </c>
      <c r="R52" s="532">
        <f t="shared" si="8"/>
        <v>0</v>
      </c>
      <c r="S52" s="533">
        <f t="shared" si="6"/>
        <v>194213</v>
      </c>
      <c r="T52" s="532"/>
      <c r="U52" s="532">
        <v>194213</v>
      </c>
      <c r="V52" s="613">
        <v>194213</v>
      </c>
      <c r="W52" s="613">
        <v>194213</v>
      </c>
      <c r="X52" s="614"/>
      <c r="Y52" s="534">
        <f t="shared" si="0"/>
        <v>0</v>
      </c>
      <c r="Z52" s="534">
        <f t="shared" si="1"/>
        <v>0</v>
      </c>
      <c r="AA52" s="613">
        <v>184502.35</v>
      </c>
      <c r="AB52" s="534">
        <f t="shared" si="2"/>
        <v>0.95000000000000007</v>
      </c>
      <c r="AC52" s="614"/>
      <c r="AD52" s="535"/>
      <c r="AE52" s="511"/>
      <c r="AF52" s="511"/>
      <c r="AG52" s="571"/>
      <c r="AH52" s="570"/>
      <c r="AI52" s="531"/>
      <c r="AJ52" s="531"/>
      <c r="AK52" s="531"/>
      <c r="AL52" s="531"/>
      <c r="AM52" s="531"/>
    </row>
    <row r="53" spans="1:39" ht="23.4" hidden="1" customHeight="1" outlineLevel="1">
      <c r="A53" s="280" t="s">
        <v>1841</v>
      </c>
      <c r="B53" s="524" t="s">
        <v>1842</v>
      </c>
      <c r="C53" s="526"/>
      <c r="D53" s="526"/>
      <c r="E53" s="526"/>
      <c r="F53" s="526"/>
      <c r="G53" s="526"/>
      <c r="H53" s="526"/>
      <c r="I53" s="526"/>
      <c r="J53" s="532">
        <f t="shared" si="5"/>
        <v>29922</v>
      </c>
      <c r="K53" s="532"/>
      <c r="L53" s="532"/>
      <c r="M53" s="532"/>
      <c r="N53" s="532"/>
      <c r="O53" s="532">
        <f>7800+22122</f>
        <v>29922</v>
      </c>
      <c r="P53" s="532">
        <f t="shared" si="7"/>
        <v>0</v>
      </c>
      <c r="Q53" s="532">
        <f t="shared" si="8"/>
        <v>0</v>
      </c>
      <c r="R53" s="532">
        <f t="shared" si="8"/>
        <v>0</v>
      </c>
      <c r="S53" s="533">
        <f t="shared" si="6"/>
        <v>29922</v>
      </c>
      <c r="T53" s="532"/>
      <c r="U53" s="532">
        <v>29922</v>
      </c>
      <c r="V53" s="613">
        <v>29922</v>
      </c>
      <c r="W53" s="613">
        <v>29922</v>
      </c>
      <c r="X53" s="614"/>
      <c r="Y53" s="534">
        <f t="shared" si="0"/>
        <v>0</v>
      </c>
      <c r="Z53" s="534">
        <f t="shared" si="1"/>
        <v>0</v>
      </c>
      <c r="AA53" s="613">
        <v>28425.899999999998</v>
      </c>
      <c r="AB53" s="534">
        <f t="shared" si="2"/>
        <v>0.95</v>
      </c>
      <c r="AC53" s="614"/>
      <c r="AD53" s="535"/>
      <c r="AE53" s="511"/>
      <c r="AF53" s="511"/>
      <c r="AG53" s="571"/>
      <c r="AH53" s="570"/>
      <c r="AI53" s="531"/>
      <c r="AJ53" s="531"/>
      <c r="AK53" s="531"/>
      <c r="AL53" s="531"/>
      <c r="AM53" s="531"/>
    </row>
    <row r="54" spans="1:39" ht="33" hidden="1" customHeight="1" outlineLevel="1">
      <c r="A54" s="280" t="s">
        <v>1843</v>
      </c>
      <c r="B54" s="524" t="s">
        <v>1844</v>
      </c>
      <c r="C54" s="526"/>
      <c r="D54" s="526"/>
      <c r="E54" s="526"/>
      <c r="F54" s="526"/>
      <c r="G54" s="526"/>
      <c r="H54" s="526"/>
      <c r="I54" s="526"/>
      <c r="J54" s="532">
        <f t="shared" si="5"/>
        <v>55000</v>
      </c>
      <c r="K54" s="532"/>
      <c r="L54" s="532"/>
      <c r="M54" s="532"/>
      <c r="N54" s="532"/>
      <c r="O54" s="532">
        <v>55000</v>
      </c>
      <c r="P54" s="532">
        <f t="shared" si="7"/>
        <v>0</v>
      </c>
      <c r="Q54" s="532">
        <f t="shared" si="8"/>
        <v>0</v>
      </c>
      <c r="R54" s="532">
        <f t="shared" si="8"/>
        <v>0</v>
      </c>
      <c r="S54" s="533">
        <f t="shared" si="6"/>
        <v>55000</v>
      </c>
      <c r="T54" s="532"/>
      <c r="U54" s="532">
        <v>55000</v>
      </c>
      <c r="V54" s="613">
        <v>55000</v>
      </c>
      <c r="W54" s="613">
        <v>55000</v>
      </c>
      <c r="X54" s="614"/>
      <c r="Y54" s="534">
        <f t="shared" si="0"/>
        <v>0</v>
      </c>
      <c r="Z54" s="534">
        <f t="shared" si="1"/>
        <v>0</v>
      </c>
      <c r="AA54" s="613">
        <v>52250</v>
      </c>
      <c r="AB54" s="534">
        <f t="shared" si="2"/>
        <v>0.95</v>
      </c>
      <c r="AC54" s="614"/>
      <c r="AD54" s="535"/>
      <c r="AE54" s="511"/>
      <c r="AF54" s="511"/>
      <c r="AG54" s="571"/>
      <c r="AH54" s="570"/>
      <c r="AI54" s="531"/>
      <c r="AJ54" s="531"/>
      <c r="AK54" s="531"/>
      <c r="AL54" s="531"/>
      <c r="AM54" s="531"/>
    </row>
    <row r="55" spans="1:39" ht="31.65" hidden="1" customHeight="1" outlineLevel="1">
      <c r="A55" s="280" t="s">
        <v>1845</v>
      </c>
      <c r="B55" s="524" t="s">
        <v>1807</v>
      </c>
      <c r="C55" s="526">
        <v>751964.13299999991</v>
      </c>
      <c r="D55" s="526" t="e">
        <f t="shared" si="3"/>
        <v>#REF!</v>
      </c>
      <c r="E55" s="526" t="e">
        <f t="shared" si="4"/>
        <v>#REF!</v>
      </c>
      <c r="F55" s="526" t="e">
        <f>+#REF!+#REF!+#REF!</f>
        <v>#REF!</v>
      </c>
      <c r="G55" s="526" t="e">
        <f>+#REF!+#REF!+#REF!</f>
        <v>#REF!</v>
      </c>
      <c r="H55" s="526" t="e">
        <f>+#REF!+#REF!+#REF!</f>
        <v>#REF!</v>
      </c>
      <c r="I55" s="526" t="e">
        <f>+#REF!+#REF!+#REF!</f>
        <v>#REF!</v>
      </c>
      <c r="J55" s="532">
        <f t="shared" si="5"/>
        <v>2250642</v>
      </c>
      <c r="K55" s="532">
        <f>K56+K57+K60</f>
        <v>1099000</v>
      </c>
      <c r="L55" s="532">
        <f>L56+L57+L60</f>
        <v>-144000</v>
      </c>
      <c r="M55" s="532">
        <f>M56+M57+M60</f>
        <v>144000</v>
      </c>
      <c r="N55" s="532">
        <f>K55+L55+M55</f>
        <v>1099000</v>
      </c>
      <c r="O55" s="532">
        <f>O56+O57+O60</f>
        <v>1151642</v>
      </c>
      <c r="P55" s="532">
        <f>S55-J55</f>
        <v>1045401.4323499999</v>
      </c>
      <c r="Q55" s="532">
        <f t="shared" si="8"/>
        <v>499059.71535000019</v>
      </c>
      <c r="R55" s="532">
        <f t="shared" si="8"/>
        <v>546341.71700000018</v>
      </c>
      <c r="S55" s="533">
        <f>S56+S57+S60+S61+S62+S63</f>
        <v>3296043.4323499999</v>
      </c>
      <c r="T55" s="532">
        <f>T56+T57+T60+T61+T62+T63</f>
        <v>1598059.7153500002</v>
      </c>
      <c r="U55" s="532">
        <f>U56+U57+U60+U61+U62+U63</f>
        <v>1697983.7170000002</v>
      </c>
      <c r="V55" s="613">
        <v>3296043.4323499999</v>
      </c>
      <c r="W55" s="613">
        <v>3296043.4323499999</v>
      </c>
      <c r="X55" s="614"/>
      <c r="Y55" s="534">
        <f t="shared" si="0"/>
        <v>0</v>
      </c>
      <c r="Z55" s="534">
        <f t="shared" si="1"/>
        <v>0</v>
      </c>
      <c r="AA55" s="613">
        <v>3131241.2607324999</v>
      </c>
      <c r="AB55" s="534">
        <f t="shared" si="2"/>
        <v>0.95</v>
      </c>
      <c r="AC55" s="614"/>
      <c r="AD55" s="535"/>
      <c r="AE55" s="511"/>
      <c r="AF55" s="511"/>
      <c r="AG55" s="571"/>
      <c r="AH55" s="570"/>
      <c r="AI55" s="531"/>
      <c r="AJ55" s="531"/>
      <c r="AK55" s="531"/>
      <c r="AL55" s="531"/>
      <c r="AM55" s="531"/>
    </row>
    <row r="56" spans="1:39" ht="20.399999999999999" hidden="1" customHeight="1" outlineLevel="1">
      <c r="A56" s="280">
        <v>1</v>
      </c>
      <c r="B56" s="506" t="s">
        <v>1846</v>
      </c>
      <c r="C56" s="526"/>
      <c r="D56" s="526"/>
      <c r="E56" s="526"/>
      <c r="F56" s="526"/>
      <c r="G56" s="526"/>
      <c r="H56" s="526"/>
      <c r="I56" s="526"/>
      <c r="J56" s="507">
        <f t="shared" si="5"/>
        <v>291738.3</v>
      </c>
      <c r="K56" s="507">
        <f>'[1]PL4 DOi Ung von DA NSTW (IN)'!ED14</f>
        <v>20000</v>
      </c>
      <c r="L56" s="507"/>
      <c r="M56" s="507"/>
      <c r="N56" s="507">
        <f>K56+L56+M56</f>
        <v>20000</v>
      </c>
      <c r="O56" s="507">
        <v>271738.3</v>
      </c>
      <c r="P56" s="507">
        <f t="shared" si="7"/>
        <v>0</v>
      </c>
      <c r="Q56" s="507">
        <f t="shared" si="8"/>
        <v>0</v>
      </c>
      <c r="R56" s="507">
        <f t="shared" si="8"/>
        <v>0</v>
      </c>
      <c r="S56" s="508">
        <f t="shared" si="6"/>
        <v>291738.3</v>
      </c>
      <c r="T56" s="507">
        <v>20000</v>
      </c>
      <c r="U56" s="507">
        <v>271738.3</v>
      </c>
      <c r="V56" s="607">
        <v>291738.3</v>
      </c>
      <c r="W56" s="607">
        <v>291738.3</v>
      </c>
      <c r="X56" s="612"/>
      <c r="Y56" s="509">
        <f t="shared" si="0"/>
        <v>0</v>
      </c>
      <c r="Z56" s="509">
        <f t="shared" si="1"/>
        <v>0</v>
      </c>
      <c r="AA56" s="607">
        <v>277151.38499999995</v>
      </c>
      <c r="AB56" s="509">
        <f t="shared" si="2"/>
        <v>0.94999999999999984</v>
      </c>
      <c r="AC56" s="612"/>
      <c r="AD56" s="551"/>
      <c r="AE56" s="511"/>
      <c r="AF56" s="511"/>
      <c r="AG56" s="571"/>
      <c r="AH56" s="570"/>
      <c r="AI56" s="531"/>
      <c r="AJ56" s="531"/>
      <c r="AK56" s="531"/>
      <c r="AL56" s="531"/>
      <c r="AM56" s="531"/>
    </row>
    <row r="57" spans="1:39" ht="20.399999999999999" hidden="1" customHeight="1" outlineLevel="1">
      <c r="A57" s="280">
        <v>2</v>
      </c>
      <c r="B57" s="506" t="s">
        <v>1821</v>
      </c>
      <c r="C57" s="526"/>
      <c r="D57" s="526"/>
      <c r="E57" s="526"/>
      <c r="F57" s="526"/>
      <c r="G57" s="526"/>
      <c r="H57" s="526"/>
      <c r="I57" s="526"/>
      <c r="J57" s="507">
        <f t="shared" si="5"/>
        <v>1565980.7</v>
      </c>
      <c r="K57" s="507">
        <f>K58+K59</f>
        <v>947000</v>
      </c>
      <c r="L57" s="507">
        <f>L58+L59</f>
        <v>-144000</v>
      </c>
      <c r="M57" s="507">
        <f>M58+M59</f>
        <v>0</v>
      </c>
      <c r="N57" s="507">
        <f>N58+N59</f>
        <v>803000</v>
      </c>
      <c r="O57" s="507">
        <f>O58+O59</f>
        <v>762980.7</v>
      </c>
      <c r="P57" s="507">
        <f t="shared" si="7"/>
        <v>0</v>
      </c>
      <c r="Q57" s="507">
        <f t="shared" si="8"/>
        <v>0</v>
      </c>
      <c r="R57" s="507">
        <f t="shared" si="8"/>
        <v>0</v>
      </c>
      <c r="S57" s="508">
        <f t="shared" si="6"/>
        <v>1565980.7</v>
      </c>
      <c r="T57" s="507">
        <v>803000</v>
      </c>
      <c r="U57" s="507">
        <v>762980.7</v>
      </c>
      <c r="V57" s="607">
        <v>1565980.7</v>
      </c>
      <c r="W57" s="607">
        <v>1565980.7</v>
      </c>
      <c r="X57" s="612"/>
      <c r="Y57" s="509">
        <f t="shared" si="0"/>
        <v>0</v>
      </c>
      <c r="Z57" s="509">
        <f t="shared" si="1"/>
        <v>0</v>
      </c>
      <c r="AA57" s="607">
        <v>1487681.6649999998</v>
      </c>
      <c r="AB57" s="509">
        <f t="shared" si="2"/>
        <v>0.95</v>
      </c>
      <c r="AC57" s="612"/>
      <c r="AD57" s="535"/>
      <c r="AE57" s="511"/>
      <c r="AF57" s="511"/>
      <c r="AG57" s="571"/>
      <c r="AH57" s="570"/>
      <c r="AI57" s="531"/>
      <c r="AJ57" s="531"/>
      <c r="AK57" s="531"/>
      <c r="AL57" s="531"/>
      <c r="AM57" s="531"/>
    </row>
    <row r="58" spans="1:39" ht="18" hidden="1" customHeight="1" outlineLevel="1">
      <c r="A58" s="572" t="s">
        <v>1678</v>
      </c>
      <c r="B58" s="512" t="s">
        <v>1823</v>
      </c>
      <c r="C58" s="547">
        <v>4156589.7309999797</v>
      </c>
      <c r="D58" s="547">
        <f t="shared" si="3"/>
        <v>1061716</v>
      </c>
      <c r="E58" s="547">
        <f t="shared" si="4"/>
        <v>920556.06700000004</v>
      </c>
      <c r="F58" s="573">
        <f>'[1]PL5.1 chuyen tiep 16-20 (IN)'!CM14</f>
        <v>246974</v>
      </c>
      <c r="G58" s="573">
        <f>'[1]PL5.1 chuyen tiep 16-20 (IN)'!CP14</f>
        <v>422538.86699999997</v>
      </c>
      <c r="H58" s="573">
        <f>'[1]PL5.1 chuyen tiep 16-20 (IN)'!CS14</f>
        <v>251043.20000000001</v>
      </c>
      <c r="I58" s="573">
        <f>'[1]PL5.1 chuyen tiep 16-20 (IN)'!CW14</f>
        <v>141159.93300000002</v>
      </c>
      <c r="J58" s="548">
        <f t="shared" si="5"/>
        <v>171840</v>
      </c>
      <c r="K58" s="548">
        <f>'[1]PL5.1 chuyen tiep 16-20 (IN)'!DG14</f>
        <v>171840</v>
      </c>
      <c r="L58" s="548"/>
      <c r="M58" s="548"/>
      <c r="N58" s="548">
        <f>K58+L58+M58</f>
        <v>171840</v>
      </c>
      <c r="O58" s="548"/>
      <c r="P58" s="548">
        <f t="shared" si="7"/>
        <v>0</v>
      </c>
      <c r="Q58" s="548">
        <f t="shared" si="8"/>
        <v>0</v>
      </c>
      <c r="R58" s="548">
        <f t="shared" si="8"/>
        <v>0</v>
      </c>
      <c r="S58" s="549">
        <f t="shared" si="6"/>
        <v>171840</v>
      </c>
      <c r="T58" s="548">
        <v>171840</v>
      </c>
      <c r="U58" s="548"/>
      <c r="V58" s="617">
        <v>171840</v>
      </c>
      <c r="W58" s="617">
        <v>171840</v>
      </c>
      <c r="X58" s="618"/>
      <c r="Y58" s="550">
        <f t="shared" si="0"/>
        <v>0</v>
      </c>
      <c r="Z58" s="550">
        <f t="shared" si="1"/>
        <v>0</v>
      </c>
      <c r="AA58" s="617">
        <v>163248</v>
      </c>
      <c r="AB58" s="550">
        <f t="shared" si="2"/>
        <v>0.95</v>
      </c>
      <c r="AC58" s="618"/>
      <c r="AD58" s="555"/>
      <c r="AE58" s="556"/>
      <c r="AF58" s="556"/>
      <c r="AG58" s="574"/>
      <c r="AH58" s="554"/>
      <c r="AI58" s="554"/>
      <c r="AJ58" s="554"/>
      <c r="AK58" s="554"/>
      <c r="AL58" s="554"/>
      <c r="AM58" s="554"/>
    </row>
    <row r="59" spans="1:39" ht="32.4" hidden="1" outlineLevel="1">
      <c r="A59" s="572" t="s">
        <v>1679</v>
      </c>
      <c r="B59" s="512" t="s">
        <v>1825</v>
      </c>
      <c r="C59" s="547">
        <v>961000</v>
      </c>
      <c r="D59" s="547" t="e">
        <f t="shared" si="3"/>
        <v>#REF!</v>
      </c>
      <c r="E59" s="547" t="e">
        <f t="shared" si="4"/>
        <v>#REF!</v>
      </c>
      <c r="F59" s="573" t="e">
        <f>F60+#REF!+#REF!</f>
        <v>#REF!</v>
      </c>
      <c r="G59" s="573" t="e">
        <f>G60+#REF!+#REF!</f>
        <v>#REF!</v>
      </c>
      <c r="H59" s="573" t="e">
        <f>H60+#REF!+#REF!</f>
        <v>#REF!</v>
      </c>
      <c r="I59" s="573" t="e">
        <f>I60+#REF!+#REF!</f>
        <v>#REF!</v>
      </c>
      <c r="J59" s="548">
        <f t="shared" si="5"/>
        <v>1394140.7</v>
      </c>
      <c r="K59" s="548">
        <f>'[1]PL5.2 KC từ 21-24 chuyển tiếp'!BK16</f>
        <v>775160</v>
      </c>
      <c r="L59" s="548">
        <v>-144000</v>
      </c>
      <c r="M59" s="548"/>
      <c r="N59" s="548">
        <v>631160</v>
      </c>
      <c r="O59" s="548">
        <v>762980.7</v>
      </c>
      <c r="P59" s="548">
        <f t="shared" si="7"/>
        <v>0</v>
      </c>
      <c r="Q59" s="548">
        <f t="shared" si="8"/>
        <v>0</v>
      </c>
      <c r="R59" s="548">
        <f t="shared" si="8"/>
        <v>0</v>
      </c>
      <c r="S59" s="549">
        <f t="shared" si="6"/>
        <v>1394140.7</v>
      </c>
      <c r="T59" s="548">
        <v>631160</v>
      </c>
      <c r="U59" s="548">
        <v>762980.7</v>
      </c>
      <c r="V59" s="617">
        <v>1394140.7</v>
      </c>
      <c r="W59" s="617">
        <v>1394140.7</v>
      </c>
      <c r="X59" s="618"/>
      <c r="Y59" s="550">
        <f t="shared" si="0"/>
        <v>0</v>
      </c>
      <c r="Z59" s="550">
        <f t="shared" si="1"/>
        <v>0</v>
      </c>
      <c r="AA59" s="617">
        <v>1324433.6649999998</v>
      </c>
      <c r="AB59" s="550">
        <f t="shared" si="2"/>
        <v>0.94999999999999984</v>
      </c>
      <c r="AC59" s="618"/>
      <c r="AD59" s="535"/>
      <c r="AE59" s="556"/>
      <c r="AF59" s="556"/>
      <c r="AG59" s="575"/>
      <c r="AH59" s="554"/>
      <c r="AI59" s="554"/>
      <c r="AJ59" s="554"/>
      <c r="AK59" s="554"/>
      <c r="AL59" s="554"/>
      <c r="AM59" s="554"/>
    </row>
    <row r="60" spans="1:39" ht="17.399999999999999" hidden="1" customHeight="1" outlineLevel="1">
      <c r="A60" s="525">
        <v>3</v>
      </c>
      <c r="B60" s="524" t="s">
        <v>1826</v>
      </c>
      <c r="C60" s="526">
        <v>3125589.7309999797</v>
      </c>
      <c r="D60" s="526">
        <f t="shared" si="3"/>
        <v>597607.80000000005</v>
      </c>
      <c r="E60" s="526">
        <f t="shared" si="4"/>
        <v>597607.80000000005</v>
      </c>
      <c r="F60" s="528">
        <f>'[1]PL4 DOi Ung von DA NSTW (IN)'!CY14</f>
        <v>0</v>
      </c>
      <c r="G60" s="528">
        <f>'[1]PL4 DOi Ung von DA NSTW (IN)'!DD14</f>
        <v>0</v>
      </c>
      <c r="H60" s="528">
        <f>'[1]PL4 DOi Ung von DA NSTW (IN)'!DI14</f>
        <v>597607.80000000005</v>
      </c>
      <c r="I60" s="528">
        <f>'[1]PL4 DOi Ung von DA NSTW (IN)'!DN14</f>
        <v>0</v>
      </c>
      <c r="J60" s="532">
        <f t="shared" si="5"/>
        <v>392923</v>
      </c>
      <c r="K60" s="532">
        <v>132000</v>
      </c>
      <c r="L60" s="532"/>
      <c r="M60" s="532">
        <v>144000</v>
      </c>
      <c r="N60" s="532">
        <v>276000</v>
      </c>
      <c r="O60" s="532">
        <v>116923</v>
      </c>
      <c r="P60" s="532">
        <f t="shared" si="7"/>
        <v>0</v>
      </c>
      <c r="Q60" s="532">
        <f t="shared" si="8"/>
        <v>0</v>
      </c>
      <c r="R60" s="532">
        <f t="shared" si="8"/>
        <v>0</v>
      </c>
      <c r="S60" s="533">
        <f t="shared" si="6"/>
        <v>392923</v>
      </c>
      <c r="T60" s="532">
        <v>276000</v>
      </c>
      <c r="U60" s="532">
        <v>116923</v>
      </c>
      <c r="V60" s="613">
        <v>392923</v>
      </c>
      <c r="W60" s="613">
        <v>392923</v>
      </c>
      <c r="X60" s="614"/>
      <c r="Y60" s="534">
        <f t="shared" si="0"/>
        <v>0</v>
      </c>
      <c r="Z60" s="534">
        <f t="shared" si="1"/>
        <v>0</v>
      </c>
      <c r="AA60" s="613">
        <v>373276.85</v>
      </c>
      <c r="AB60" s="534">
        <f t="shared" si="2"/>
        <v>0.95</v>
      </c>
      <c r="AC60" s="614"/>
      <c r="AD60" s="535"/>
      <c r="AE60" s="511">
        <f>C60-D60-K60</f>
        <v>2395981.9309999794</v>
      </c>
      <c r="AF60" s="511"/>
      <c r="AG60" s="576"/>
      <c r="AH60" s="531"/>
      <c r="AI60" s="531"/>
      <c r="AJ60" s="531"/>
      <c r="AK60" s="531"/>
      <c r="AL60" s="531"/>
      <c r="AM60" s="531"/>
    </row>
    <row r="61" spans="1:39" ht="33.75" hidden="1" customHeight="1" outlineLevel="1">
      <c r="A61" s="577">
        <v>4</v>
      </c>
      <c r="B61" s="537" t="s">
        <v>1810</v>
      </c>
      <c r="C61" s="538"/>
      <c r="D61" s="538"/>
      <c r="E61" s="538"/>
      <c r="F61" s="578"/>
      <c r="G61" s="578"/>
      <c r="H61" s="578"/>
      <c r="I61" s="578"/>
      <c r="J61" s="539"/>
      <c r="K61" s="539"/>
      <c r="L61" s="539"/>
      <c r="M61" s="539"/>
      <c r="N61" s="539"/>
      <c r="O61" s="539"/>
      <c r="P61" s="539">
        <f>S61-J61</f>
        <v>70664.500349999988</v>
      </c>
      <c r="Q61" s="539">
        <f t="shared" si="8"/>
        <v>43266.933349999992</v>
      </c>
      <c r="R61" s="539">
        <f t="shared" si="8"/>
        <v>27397.567000000003</v>
      </c>
      <c r="S61" s="540">
        <f t="shared" si="6"/>
        <v>70664.500349999988</v>
      </c>
      <c r="T61" s="539">
        <f>'[2]PLTH-HUYEN GIAO'!BC22</f>
        <v>43266.933349999992</v>
      </c>
      <c r="U61" s="539">
        <f>'[2]PLTH-HUYEN GIAO'!BC27</f>
        <v>27397.567000000003</v>
      </c>
      <c r="V61" s="615">
        <v>70664.500349999988</v>
      </c>
      <c r="W61" s="615">
        <v>70664.500349999988</v>
      </c>
      <c r="X61" s="616"/>
      <c r="Y61" s="541">
        <f t="shared" si="0"/>
        <v>0</v>
      </c>
      <c r="Z61" s="541">
        <f t="shared" si="1"/>
        <v>0</v>
      </c>
      <c r="AA61" s="615">
        <v>67131.275332499979</v>
      </c>
      <c r="AB61" s="541">
        <f t="shared" si="2"/>
        <v>0.94999999999999984</v>
      </c>
      <c r="AC61" s="616"/>
      <c r="AD61" s="542" t="s">
        <v>1847</v>
      </c>
      <c r="AE61" s="543"/>
      <c r="AF61" s="543"/>
      <c r="AG61" s="579"/>
      <c r="AH61" s="546"/>
      <c r="AI61" s="546"/>
      <c r="AJ61" s="546"/>
      <c r="AK61" s="546"/>
      <c r="AL61" s="546"/>
      <c r="AM61" s="546"/>
    </row>
    <row r="62" spans="1:39" ht="31.2" hidden="1" outlineLevel="1">
      <c r="A62" s="577">
        <v>5</v>
      </c>
      <c r="B62" s="537" t="s">
        <v>1848</v>
      </c>
      <c r="C62" s="538"/>
      <c r="D62" s="538"/>
      <c r="E62" s="538"/>
      <c r="F62" s="578"/>
      <c r="G62" s="578"/>
      <c r="H62" s="578"/>
      <c r="I62" s="578"/>
      <c r="J62" s="539"/>
      <c r="K62" s="539"/>
      <c r="L62" s="539"/>
      <c r="M62" s="539"/>
      <c r="N62" s="539"/>
      <c r="O62" s="539"/>
      <c r="P62" s="539">
        <f t="shared" si="7"/>
        <v>504510.78200000001</v>
      </c>
      <c r="Q62" s="539">
        <f t="shared" si="8"/>
        <v>452792.78200000001</v>
      </c>
      <c r="R62" s="539">
        <f t="shared" si="8"/>
        <v>51718</v>
      </c>
      <c r="S62" s="540">
        <f t="shared" si="6"/>
        <v>504510.78200000001</v>
      </c>
      <c r="T62" s="539">
        <f>'[2]PLTH-HUYEN GIAO'!BC20</f>
        <v>452792.78200000001</v>
      </c>
      <c r="U62" s="539">
        <f>'[2]PLTH-HUYEN GIAO'!BC25</f>
        <v>51718</v>
      </c>
      <c r="V62" s="615">
        <v>504510.78200000001</v>
      </c>
      <c r="W62" s="615">
        <v>504510.78200000001</v>
      </c>
      <c r="X62" s="616"/>
      <c r="Y62" s="541">
        <f t="shared" si="0"/>
        <v>0</v>
      </c>
      <c r="Z62" s="541">
        <f t="shared" si="1"/>
        <v>0</v>
      </c>
      <c r="AA62" s="615">
        <v>479285.24290000001</v>
      </c>
      <c r="AB62" s="541">
        <f t="shared" si="2"/>
        <v>0.95000000000000007</v>
      </c>
      <c r="AC62" s="616"/>
      <c r="AD62" s="542"/>
      <c r="AE62" s="543"/>
      <c r="AF62" s="543"/>
      <c r="AG62" s="579"/>
      <c r="AH62" s="546"/>
      <c r="AI62" s="546"/>
      <c r="AJ62" s="546"/>
      <c r="AK62" s="546"/>
      <c r="AL62" s="546"/>
      <c r="AM62" s="546"/>
    </row>
    <row r="63" spans="1:39" ht="17.399999999999999" hidden="1" customHeight="1" outlineLevel="1">
      <c r="A63" s="577">
        <v>6</v>
      </c>
      <c r="B63" s="537" t="s">
        <v>1829</v>
      </c>
      <c r="C63" s="538"/>
      <c r="D63" s="538"/>
      <c r="E63" s="538"/>
      <c r="F63" s="578"/>
      <c r="G63" s="578"/>
      <c r="H63" s="578"/>
      <c r="I63" s="578"/>
      <c r="J63" s="539"/>
      <c r="K63" s="539"/>
      <c r="L63" s="539"/>
      <c r="M63" s="539"/>
      <c r="N63" s="539"/>
      <c r="O63" s="539"/>
      <c r="P63" s="539">
        <f t="shared" si="7"/>
        <v>470226.15</v>
      </c>
      <c r="Q63" s="539">
        <f t="shared" si="8"/>
        <v>3000</v>
      </c>
      <c r="R63" s="539">
        <f t="shared" si="8"/>
        <v>467226.15</v>
      </c>
      <c r="S63" s="540">
        <f t="shared" si="6"/>
        <v>470226.15</v>
      </c>
      <c r="T63" s="539">
        <f>'[2]PLTH-HUYEN GIAO'!BC23</f>
        <v>3000</v>
      </c>
      <c r="U63" s="539">
        <f>'[2]PLTH-HUYEN GIAO'!BC28</f>
        <v>467226.15</v>
      </c>
      <c r="V63" s="615">
        <v>470226.15</v>
      </c>
      <c r="W63" s="615">
        <v>470226.15</v>
      </c>
      <c r="X63" s="616"/>
      <c r="Y63" s="541">
        <f t="shared" si="0"/>
        <v>0</v>
      </c>
      <c r="Z63" s="541">
        <f t="shared" si="1"/>
        <v>0</v>
      </c>
      <c r="AA63" s="615">
        <v>446714.84250000003</v>
      </c>
      <c r="AB63" s="541">
        <f t="shared" si="2"/>
        <v>0.95000000000000007</v>
      </c>
      <c r="AC63" s="616"/>
      <c r="AD63" s="542"/>
      <c r="AE63" s="543"/>
      <c r="AF63" s="543"/>
      <c r="AG63" s="579"/>
      <c r="AH63" s="546"/>
      <c r="AI63" s="546"/>
      <c r="AJ63" s="546"/>
      <c r="AK63" s="546"/>
      <c r="AL63" s="546"/>
      <c r="AM63" s="546"/>
    </row>
    <row r="64" spans="1:39" ht="31.2" hidden="1" outlineLevel="1">
      <c r="A64" s="536" t="s">
        <v>1849</v>
      </c>
      <c r="B64" s="566" t="s">
        <v>1850</v>
      </c>
      <c r="C64" s="580"/>
      <c r="D64" s="580"/>
      <c r="E64" s="580"/>
      <c r="F64" s="580"/>
      <c r="G64" s="580"/>
      <c r="H64" s="580"/>
      <c r="I64" s="580"/>
      <c r="J64" s="581">
        <f t="shared" si="5"/>
        <v>93184</v>
      </c>
      <c r="K64" s="581"/>
      <c r="L64" s="581"/>
      <c r="M64" s="581"/>
      <c r="N64" s="581"/>
      <c r="O64" s="581">
        <v>93184</v>
      </c>
      <c r="P64" s="581">
        <f t="shared" si="7"/>
        <v>247143.52649600001</v>
      </c>
      <c r="Q64" s="581">
        <f t="shared" si="8"/>
        <v>152226.23355800001</v>
      </c>
      <c r="R64" s="581">
        <f t="shared" si="8"/>
        <v>94917.292937999999</v>
      </c>
      <c r="S64" s="582">
        <f>SUM(S65:S69)</f>
        <v>340327.52649600001</v>
      </c>
      <c r="T64" s="581">
        <f>SUM(T65:T69)</f>
        <v>152226.23355800001</v>
      </c>
      <c r="U64" s="581">
        <f>SUM(U65:U69)</f>
        <v>188101.292938</v>
      </c>
      <c r="V64" s="619">
        <v>340327.52649600001</v>
      </c>
      <c r="W64" s="619">
        <v>340327.52649600001</v>
      </c>
      <c r="X64" s="620"/>
      <c r="Y64" s="583">
        <f t="shared" si="0"/>
        <v>0</v>
      </c>
      <c r="Z64" s="583">
        <f t="shared" si="1"/>
        <v>0</v>
      </c>
      <c r="AA64" s="619">
        <v>323311.15017119999</v>
      </c>
      <c r="AB64" s="583">
        <f t="shared" si="2"/>
        <v>0.95</v>
      </c>
      <c r="AC64" s="620"/>
      <c r="AD64" s="584"/>
      <c r="AE64" s="511">
        <f>T64-N64</f>
        <v>152226.23355800001</v>
      </c>
      <c r="AF64" s="511">
        <f>U64-O64</f>
        <v>94917.292937999999</v>
      </c>
      <c r="AG64" s="529">
        <f>AE64+AF64</f>
        <v>247143.52649600001</v>
      </c>
      <c r="AH64" s="546"/>
      <c r="AI64" s="546"/>
      <c r="AJ64" s="546"/>
      <c r="AK64" s="546"/>
      <c r="AL64" s="546"/>
      <c r="AM64" s="546"/>
    </row>
    <row r="65" spans="1:39" ht="31.2" hidden="1" outlineLevel="1">
      <c r="A65" s="536">
        <v>1</v>
      </c>
      <c r="B65" s="566" t="s">
        <v>1851</v>
      </c>
      <c r="C65" s="580"/>
      <c r="D65" s="580"/>
      <c r="E65" s="580"/>
      <c r="F65" s="580"/>
      <c r="G65" s="580"/>
      <c r="H65" s="580"/>
      <c r="I65" s="580"/>
      <c r="J65" s="581">
        <f>N65+O65</f>
        <v>93184</v>
      </c>
      <c r="K65" s="581"/>
      <c r="L65" s="581"/>
      <c r="M65" s="581"/>
      <c r="N65" s="581"/>
      <c r="O65" s="581">
        <v>93184</v>
      </c>
      <c r="P65" s="581">
        <f t="shared" si="7"/>
        <v>0</v>
      </c>
      <c r="Q65" s="581">
        <f t="shared" si="8"/>
        <v>0</v>
      </c>
      <c r="R65" s="581">
        <f t="shared" si="8"/>
        <v>0</v>
      </c>
      <c r="S65" s="582">
        <f>T65+U65</f>
        <v>93184</v>
      </c>
      <c r="T65" s="581"/>
      <c r="U65" s="581">
        <v>93184</v>
      </c>
      <c r="V65" s="619">
        <v>93184</v>
      </c>
      <c r="W65" s="619">
        <v>93184</v>
      </c>
      <c r="X65" s="620"/>
      <c r="Y65" s="583">
        <f t="shared" si="0"/>
        <v>0</v>
      </c>
      <c r="Z65" s="583">
        <f t="shared" si="1"/>
        <v>0</v>
      </c>
      <c r="AA65" s="619">
        <v>88524.800000000003</v>
      </c>
      <c r="AB65" s="583">
        <f t="shared" si="2"/>
        <v>0.95000000000000007</v>
      </c>
      <c r="AC65" s="620"/>
      <c r="AD65" s="584"/>
      <c r="AE65" s="585"/>
      <c r="AF65" s="543"/>
      <c r="AG65" s="546"/>
      <c r="AH65" s="546"/>
      <c r="AI65" s="546"/>
      <c r="AJ65" s="546"/>
      <c r="AK65" s="546"/>
      <c r="AL65" s="546"/>
      <c r="AM65" s="546"/>
    </row>
    <row r="66" spans="1:39" ht="33" hidden="1" customHeight="1" outlineLevel="1">
      <c r="A66" s="536">
        <v>2</v>
      </c>
      <c r="B66" s="537" t="s">
        <v>1852</v>
      </c>
      <c r="C66" s="580"/>
      <c r="D66" s="580"/>
      <c r="E66" s="580"/>
      <c r="F66" s="580"/>
      <c r="G66" s="580"/>
      <c r="H66" s="580"/>
      <c r="I66" s="580"/>
      <c r="J66" s="581">
        <f>N66+O66</f>
        <v>0</v>
      </c>
      <c r="K66" s="581"/>
      <c r="L66" s="581"/>
      <c r="M66" s="581"/>
      <c r="N66" s="581"/>
      <c r="O66" s="581"/>
      <c r="P66" s="581">
        <f t="shared" si="7"/>
        <v>139403.76555799998</v>
      </c>
      <c r="Q66" s="581">
        <f t="shared" si="8"/>
        <v>131903.76555799998</v>
      </c>
      <c r="R66" s="581">
        <f t="shared" si="8"/>
        <v>7500</v>
      </c>
      <c r="S66" s="582">
        <f>T66+U66</f>
        <v>139403.76555799998</v>
      </c>
      <c r="T66" s="581">
        <f>'[2]PLTH-HUYEN GIAO'!BD20</f>
        <v>131903.76555799998</v>
      </c>
      <c r="U66" s="581">
        <f>'[2]PLTH-HUYEN GIAO'!BD25</f>
        <v>7500</v>
      </c>
      <c r="V66" s="619">
        <v>139403.76555799998</v>
      </c>
      <c r="W66" s="619">
        <v>139403.76555799998</v>
      </c>
      <c r="X66" s="620"/>
      <c r="Y66" s="583">
        <f t="shared" si="0"/>
        <v>0</v>
      </c>
      <c r="Z66" s="583">
        <f t="shared" si="1"/>
        <v>0</v>
      </c>
      <c r="AA66" s="619">
        <v>132433.57728009997</v>
      </c>
      <c r="AB66" s="583">
        <f t="shared" si="2"/>
        <v>0.94999999999999984</v>
      </c>
      <c r="AC66" s="620"/>
      <c r="AD66" s="542" t="s">
        <v>1847</v>
      </c>
      <c r="AE66" s="585"/>
      <c r="AF66" s="543"/>
      <c r="AG66" s="546"/>
      <c r="AH66" s="546"/>
      <c r="AI66" s="546"/>
      <c r="AJ66" s="546"/>
      <c r="AK66" s="546"/>
      <c r="AL66" s="546"/>
      <c r="AM66" s="546"/>
    </row>
    <row r="67" spans="1:39" ht="15.6" hidden="1" outlineLevel="1">
      <c r="A67" s="536">
        <v>3</v>
      </c>
      <c r="B67" s="537" t="s">
        <v>1853</v>
      </c>
      <c r="C67" s="580"/>
      <c r="D67" s="580"/>
      <c r="E67" s="580"/>
      <c r="F67" s="580"/>
      <c r="G67" s="580"/>
      <c r="H67" s="580"/>
      <c r="I67" s="580"/>
      <c r="J67" s="581">
        <f>N67+O67</f>
        <v>0</v>
      </c>
      <c r="K67" s="581"/>
      <c r="L67" s="581"/>
      <c r="M67" s="581"/>
      <c r="N67" s="581"/>
      <c r="O67" s="581"/>
      <c r="P67" s="581">
        <f t="shared" si="7"/>
        <v>84286.569938000001</v>
      </c>
      <c r="Q67" s="581">
        <f t="shared" si="8"/>
        <v>6984.1239999999998</v>
      </c>
      <c r="R67" s="581">
        <f t="shared" si="8"/>
        <v>77302.445938000004</v>
      </c>
      <c r="S67" s="582">
        <f>T67+U67</f>
        <v>84286.569938000001</v>
      </c>
      <c r="T67" s="581">
        <f>'[2]PLTH-HUYEN GIAO'!BD21</f>
        <v>6984.1239999999998</v>
      </c>
      <c r="U67" s="581">
        <f>'[2]PLTH-HUYEN GIAO'!BD26</f>
        <v>77302.445938000004</v>
      </c>
      <c r="V67" s="619">
        <v>84286.569938000001</v>
      </c>
      <c r="W67" s="619">
        <v>84286.569938000001</v>
      </c>
      <c r="X67" s="620"/>
      <c r="Y67" s="583">
        <f t="shared" si="0"/>
        <v>0</v>
      </c>
      <c r="Z67" s="583">
        <f t="shared" si="1"/>
        <v>0</v>
      </c>
      <c r="AA67" s="619">
        <v>80072.241441099992</v>
      </c>
      <c r="AB67" s="583">
        <f t="shared" si="2"/>
        <v>0.94999999999999984</v>
      </c>
      <c r="AC67" s="620"/>
      <c r="AD67" s="542"/>
      <c r="AE67" s="585"/>
      <c r="AF67" s="543"/>
      <c r="AG67" s="546"/>
      <c r="AH67" s="546"/>
      <c r="AI67" s="546"/>
      <c r="AJ67" s="546"/>
      <c r="AK67" s="546"/>
      <c r="AL67" s="546"/>
      <c r="AM67" s="546"/>
    </row>
    <row r="68" spans="1:39" ht="33" hidden="1" customHeight="1" outlineLevel="1">
      <c r="A68" s="536">
        <v>4</v>
      </c>
      <c r="B68" s="537" t="s">
        <v>1810</v>
      </c>
      <c r="C68" s="580"/>
      <c r="D68" s="580"/>
      <c r="E68" s="580"/>
      <c r="F68" s="580"/>
      <c r="G68" s="580"/>
      <c r="H68" s="580"/>
      <c r="I68" s="580"/>
      <c r="J68" s="581">
        <f>N68+O68</f>
        <v>0</v>
      </c>
      <c r="K68" s="581"/>
      <c r="L68" s="581"/>
      <c r="M68" s="581"/>
      <c r="N68" s="581"/>
      <c r="O68" s="581"/>
      <c r="P68" s="581">
        <f t="shared" si="7"/>
        <v>23253.190999999999</v>
      </c>
      <c r="Q68" s="581">
        <f t="shared" si="8"/>
        <v>13338.344000000001</v>
      </c>
      <c r="R68" s="581">
        <f t="shared" si="8"/>
        <v>9914.8469999999998</v>
      </c>
      <c r="S68" s="582">
        <f>T68+U68</f>
        <v>23253.190999999999</v>
      </c>
      <c r="T68" s="581">
        <f>'[2]PLTH-HUYEN GIAO'!BD22</f>
        <v>13338.344000000001</v>
      </c>
      <c r="U68" s="581">
        <f>'[2]PLTH-HUYEN GIAO'!BD27</f>
        <v>9914.8469999999998</v>
      </c>
      <c r="V68" s="619">
        <v>23253.190999999999</v>
      </c>
      <c r="W68" s="619">
        <v>23253.190999999999</v>
      </c>
      <c r="X68" s="620"/>
      <c r="Y68" s="583">
        <f t="shared" si="0"/>
        <v>0</v>
      </c>
      <c r="Z68" s="583">
        <f t="shared" si="1"/>
        <v>0</v>
      </c>
      <c r="AA68" s="619">
        <v>22090.531449999999</v>
      </c>
      <c r="AB68" s="583">
        <f t="shared" si="2"/>
        <v>0.95</v>
      </c>
      <c r="AC68" s="620"/>
      <c r="AD68" s="542" t="s">
        <v>1847</v>
      </c>
      <c r="AE68" s="585"/>
      <c r="AF68" s="543"/>
      <c r="AG68" s="546"/>
      <c r="AH68" s="546"/>
      <c r="AI68" s="546"/>
      <c r="AJ68" s="546"/>
      <c r="AK68" s="546"/>
      <c r="AL68" s="546"/>
      <c r="AM68" s="546"/>
    </row>
    <row r="69" spans="1:39" ht="15.6" hidden="1" outlineLevel="1">
      <c r="A69" s="536">
        <v>5</v>
      </c>
      <c r="B69" s="537" t="s">
        <v>1829</v>
      </c>
      <c r="C69" s="580"/>
      <c r="D69" s="580"/>
      <c r="E69" s="580"/>
      <c r="F69" s="580"/>
      <c r="G69" s="580"/>
      <c r="H69" s="580"/>
      <c r="I69" s="580"/>
      <c r="J69" s="581">
        <f>N69+O69</f>
        <v>0</v>
      </c>
      <c r="K69" s="581"/>
      <c r="L69" s="581"/>
      <c r="M69" s="581"/>
      <c r="N69" s="581"/>
      <c r="O69" s="581"/>
      <c r="P69" s="581">
        <f t="shared" si="7"/>
        <v>200</v>
      </c>
      <c r="Q69" s="581">
        <f t="shared" si="8"/>
        <v>0</v>
      </c>
      <c r="R69" s="581">
        <f t="shared" si="8"/>
        <v>200</v>
      </c>
      <c r="S69" s="582">
        <f>T69+U69</f>
        <v>200</v>
      </c>
      <c r="T69" s="581">
        <f>'[2]PLTH-HUYEN GIAO'!BD23</f>
        <v>0</v>
      </c>
      <c r="U69" s="581">
        <f>'[2]PLTH-HUYEN GIAO'!BD28</f>
        <v>200</v>
      </c>
      <c r="V69" s="619">
        <v>200</v>
      </c>
      <c r="W69" s="619">
        <v>200</v>
      </c>
      <c r="X69" s="620"/>
      <c r="Y69" s="583">
        <f t="shared" si="0"/>
        <v>0</v>
      </c>
      <c r="Z69" s="583">
        <f t="shared" si="1"/>
        <v>0</v>
      </c>
      <c r="AA69" s="619">
        <v>190</v>
      </c>
      <c r="AB69" s="583">
        <f t="shared" si="2"/>
        <v>0.95</v>
      </c>
      <c r="AC69" s="620"/>
      <c r="AD69" s="542" t="s">
        <v>1847</v>
      </c>
      <c r="AE69" s="585"/>
      <c r="AF69" s="543"/>
      <c r="AG69" s="546"/>
      <c r="AH69" s="546"/>
      <c r="AI69" s="546"/>
      <c r="AJ69" s="546"/>
      <c r="AK69" s="546"/>
      <c r="AL69" s="546"/>
      <c r="AM69" s="546"/>
    </row>
    <row r="70" spans="1:39" ht="32.25" customHeight="1" collapsed="1">
      <c r="A70" s="505">
        <v>4</v>
      </c>
      <c r="B70" s="506" t="s">
        <v>1854</v>
      </c>
      <c r="C70" s="586"/>
      <c r="D70" s="586"/>
      <c r="E70" s="586"/>
      <c r="F70" s="586"/>
      <c r="G70" s="586"/>
      <c r="H70" s="586"/>
      <c r="I70" s="586"/>
      <c r="J70" s="507">
        <f t="shared" si="5"/>
        <v>7400</v>
      </c>
      <c r="K70" s="507"/>
      <c r="L70" s="507"/>
      <c r="M70" s="507"/>
      <c r="N70" s="507"/>
      <c r="O70" s="507">
        <v>7400</v>
      </c>
      <c r="P70" s="507">
        <f t="shared" si="7"/>
        <v>0</v>
      </c>
      <c r="Q70" s="507">
        <f t="shared" si="8"/>
        <v>0</v>
      </c>
      <c r="R70" s="507">
        <f t="shared" si="8"/>
        <v>0</v>
      </c>
      <c r="S70" s="508">
        <f t="shared" si="6"/>
        <v>7400</v>
      </c>
      <c r="T70" s="507"/>
      <c r="U70" s="507">
        <v>7400</v>
      </c>
      <c r="V70" s="607">
        <v>7400</v>
      </c>
      <c r="W70" s="607">
        <v>7400</v>
      </c>
      <c r="X70" s="612"/>
      <c r="Y70" s="509"/>
      <c r="Z70" s="509"/>
      <c r="AA70" s="607">
        <v>0</v>
      </c>
      <c r="AB70" s="509"/>
      <c r="AC70" s="612">
        <v>21501</v>
      </c>
      <c r="AD70" s="507"/>
      <c r="AE70" s="464"/>
      <c r="AF70" s="511"/>
      <c r="AG70" s="531"/>
      <c r="AH70" s="531"/>
      <c r="AI70" s="531"/>
      <c r="AJ70" s="531"/>
      <c r="AK70" s="531"/>
      <c r="AL70" s="531"/>
      <c r="AM70" s="531"/>
    </row>
    <row r="71" spans="1:39" ht="56.25" customHeight="1">
      <c r="A71" s="587">
        <v>5</v>
      </c>
      <c r="B71" s="588" t="s">
        <v>1668</v>
      </c>
      <c r="C71" s="589"/>
      <c r="D71" s="589"/>
      <c r="E71" s="589"/>
      <c r="F71" s="589"/>
      <c r="G71" s="589"/>
      <c r="H71" s="589"/>
      <c r="I71" s="589"/>
      <c r="J71" s="590"/>
      <c r="K71" s="590"/>
      <c r="L71" s="590"/>
      <c r="M71" s="590"/>
      <c r="N71" s="590"/>
      <c r="O71" s="590"/>
      <c r="P71" s="590"/>
      <c r="Q71" s="590"/>
      <c r="R71" s="590"/>
      <c r="S71" s="591"/>
      <c r="T71" s="590"/>
      <c r="U71" s="590"/>
      <c r="V71" s="621"/>
      <c r="W71" s="621">
        <v>58000</v>
      </c>
      <c r="X71" s="622"/>
      <c r="Y71" s="592"/>
      <c r="Z71" s="592"/>
      <c r="AA71" s="621">
        <v>0</v>
      </c>
      <c r="AB71" s="592"/>
      <c r="AC71" s="622"/>
      <c r="AD71" s="590"/>
      <c r="AE71" s="464"/>
      <c r="AF71" s="511"/>
      <c r="AG71" s="531"/>
      <c r="AH71" s="531"/>
      <c r="AI71" s="531"/>
      <c r="AJ71" s="531"/>
      <c r="AK71" s="531"/>
      <c r="AL71" s="531"/>
      <c r="AM71" s="531"/>
    </row>
    <row r="72" spans="1:39" ht="15.6">
      <c r="A72" s="880"/>
      <c r="B72" s="881"/>
      <c r="C72" s="881"/>
      <c r="D72" s="881"/>
      <c r="E72" s="881"/>
      <c r="F72" s="881"/>
      <c r="G72" s="881"/>
      <c r="H72" s="881"/>
      <c r="I72" s="881"/>
      <c r="J72" s="881"/>
      <c r="K72" s="881"/>
      <c r="L72" s="881"/>
      <c r="M72" s="881"/>
      <c r="N72" s="881"/>
      <c r="O72" s="881"/>
      <c r="P72" s="881"/>
      <c r="Q72" s="881"/>
      <c r="R72" s="881"/>
      <c r="S72" s="881"/>
      <c r="T72" s="881"/>
      <c r="U72" s="881"/>
      <c r="V72" s="881"/>
      <c r="W72" s="881"/>
      <c r="X72" s="881"/>
      <c r="Y72" s="881"/>
      <c r="Z72" s="881"/>
      <c r="AA72" s="881"/>
      <c r="AB72" s="881"/>
      <c r="AC72" s="881"/>
      <c r="AD72" s="881"/>
      <c r="AE72" s="510"/>
      <c r="AF72" s="510"/>
      <c r="AG72" s="467"/>
      <c r="AH72" s="467"/>
      <c r="AI72" s="467"/>
      <c r="AJ72" s="467"/>
      <c r="AK72" s="467"/>
      <c r="AL72" s="467"/>
      <c r="AM72" s="467"/>
    </row>
    <row r="73" spans="1:39">
      <c r="X73" s="3"/>
    </row>
  </sheetData>
  <mergeCells count="18">
    <mergeCell ref="A72:AD72"/>
    <mergeCell ref="V6:AB6"/>
    <mergeCell ref="AC6:AC8"/>
    <mergeCell ref="AD6:AD8"/>
    <mergeCell ref="V7:V8"/>
    <mergeCell ref="W7:W8"/>
    <mergeCell ref="X7:Z7"/>
    <mergeCell ref="AA7:AB7"/>
    <mergeCell ref="A1:AD1"/>
    <mergeCell ref="A2:AD2"/>
    <mergeCell ref="A3:AD3"/>
    <mergeCell ref="B5:AD5"/>
    <mergeCell ref="A6:A8"/>
    <mergeCell ref="B6:B8"/>
    <mergeCell ref="J6:J8"/>
    <mergeCell ref="P6:P8"/>
    <mergeCell ref="Q6:R6"/>
    <mergeCell ref="T6:U6"/>
  </mergeCells>
  <pageMargins left="0.70866141732283472" right="0.70866141732283472" top="0.74803149606299213" bottom="0.74803149606299213" header="0.31496062992125984" footer="0.31496062992125984"/>
  <pageSetup paperSize="9" scale="75" orientation="landscape" r:id="rId1"/>
  <headerFooter>
    <oddFooter>&amp;R&amp;P/&amp;N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34"/>
  <sheetViews>
    <sheetView tabSelected="1" topLeftCell="A7" zoomScale="55" zoomScaleNormal="55" workbookViewId="0">
      <selection activeCell="D5" sqref="D5:D12"/>
    </sheetView>
  </sheetViews>
  <sheetFormatPr defaultColWidth="9.109375" defaultRowHeight="18" outlineLevelCol="1"/>
  <cols>
    <col min="1" max="1" width="9.44140625" style="358" customWidth="1"/>
    <col min="2" max="2" width="103.44140625" style="356" customWidth="1"/>
    <col min="3" max="3" width="12.5546875" style="356" hidden="1" customWidth="1"/>
    <col min="4" max="4" width="8.44140625" style="356" customWidth="1"/>
    <col min="5" max="5" width="10" style="375" customWidth="1"/>
    <col min="6" max="7" width="8.44140625" style="375" customWidth="1"/>
    <col min="8" max="8" width="25.33203125" style="375" customWidth="1"/>
    <col min="9" max="9" width="12.5546875" style="348" customWidth="1"/>
    <col min="10" max="10" width="12.109375" style="348" customWidth="1"/>
    <col min="11" max="11" width="9.5546875" style="348" customWidth="1"/>
    <col min="12" max="12" width="8.44140625" style="348" customWidth="1"/>
    <col min="13" max="13" width="13.5546875" style="348" customWidth="1"/>
    <col min="14" max="14" width="10.88671875" style="348" customWidth="1"/>
    <col min="15" max="15" width="11.88671875" style="348" customWidth="1"/>
    <col min="16" max="16" width="9.44140625" style="348" hidden="1" customWidth="1" outlineLevel="1"/>
    <col min="17" max="17" width="8.109375" style="348" hidden="1" customWidth="1" outlineLevel="1"/>
    <col min="18" max="18" width="13.44140625" style="348" hidden="1" customWidth="1" outlineLevel="1"/>
    <col min="19" max="21" width="9" style="348" hidden="1" customWidth="1" outlineLevel="1"/>
    <col min="22" max="22" width="9" style="348" hidden="1" customWidth="1" collapsed="1"/>
    <col min="23" max="27" width="9" style="348" hidden="1" customWidth="1"/>
    <col min="28" max="28" width="11.44140625" style="348" bestFit="1" customWidth="1"/>
    <col min="29" max="29" width="10.109375" style="348" customWidth="1"/>
    <col min="30" max="35" width="11.44140625" style="348" customWidth="1"/>
    <col min="36" max="36" width="15.109375" style="348" customWidth="1"/>
    <col min="37" max="37" width="8.88671875" style="348" customWidth="1"/>
    <col min="38" max="38" width="10.44140625" style="348" customWidth="1"/>
    <col min="39" max="39" width="11" style="348" customWidth="1"/>
    <col min="40" max="40" width="11.109375" style="348" customWidth="1"/>
    <col min="41" max="41" width="27.5546875" style="348" customWidth="1"/>
    <col min="42" max="42" width="12" style="357" customWidth="1"/>
    <col min="43" max="43" width="16.44140625" style="357" customWidth="1"/>
    <col min="44" max="16384" width="9.109375" style="357"/>
  </cols>
  <sheetData>
    <row r="1" spans="1:43" s="355" customFormat="1" ht="24.75" customHeight="1">
      <c r="A1" s="960" t="s">
        <v>1857</v>
      </c>
      <c r="B1" s="960"/>
      <c r="C1" s="960"/>
      <c r="D1" s="960"/>
      <c r="E1" s="960"/>
      <c r="F1" s="960"/>
      <c r="G1" s="960"/>
      <c r="H1" s="960"/>
      <c r="I1" s="960"/>
      <c r="J1" s="960"/>
      <c r="K1" s="960"/>
      <c r="L1" s="960"/>
      <c r="M1" s="960"/>
      <c r="N1" s="960"/>
      <c r="O1" s="960"/>
      <c r="P1" s="960"/>
      <c r="Q1" s="960"/>
      <c r="R1" s="960"/>
      <c r="S1" s="960"/>
      <c r="T1" s="960"/>
      <c r="U1" s="960"/>
      <c r="V1" s="960"/>
      <c r="W1" s="960"/>
      <c r="X1" s="960"/>
      <c r="Y1" s="960"/>
      <c r="Z1" s="960"/>
      <c r="AA1" s="960"/>
      <c r="AB1" s="960"/>
      <c r="AC1" s="960"/>
      <c r="AD1" s="960"/>
      <c r="AE1" s="960"/>
      <c r="AF1" s="960"/>
      <c r="AG1" s="960"/>
      <c r="AH1" s="960"/>
      <c r="AI1" s="960"/>
      <c r="AJ1" s="960"/>
      <c r="AK1" s="960"/>
      <c r="AL1" s="960"/>
      <c r="AM1" s="960"/>
      <c r="AN1" s="960"/>
      <c r="AO1" s="960"/>
    </row>
    <row r="2" spans="1:43" ht="32.25" customHeight="1">
      <c r="A2" s="960" t="s">
        <v>1773</v>
      </c>
      <c r="B2" s="960"/>
      <c r="C2" s="960"/>
      <c r="D2" s="960"/>
      <c r="E2" s="960"/>
      <c r="F2" s="960"/>
      <c r="G2" s="960"/>
      <c r="H2" s="960"/>
      <c r="I2" s="960"/>
      <c r="J2" s="960"/>
      <c r="K2" s="960"/>
      <c r="L2" s="960"/>
      <c r="M2" s="960"/>
      <c r="N2" s="960"/>
      <c r="O2" s="960"/>
      <c r="P2" s="960"/>
      <c r="Q2" s="960"/>
      <c r="R2" s="960"/>
      <c r="S2" s="960"/>
      <c r="T2" s="960"/>
      <c r="U2" s="960"/>
      <c r="V2" s="960"/>
      <c r="W2" s="960"/>
      <c r="X2" s="960"/>
      <c r="Y2" s="960"/>
      <c r="Z2" s="960"/>
      <c r="AA2" s="960"/>
      <c r="AB2" s="960"/>
      <c r="AC2" s="960"/>
      <c r="AD2" s="960"/>
      <c r="AE2" s="960"/>
      <c r="AF2" s="960"/>
      <c r="AG2" s="960"/>
      <c r="AH2" s="960"/>
      <c r="AI2" s="960"/>
      <c r="AJ2" s="960"/>
      <c r="AK2" s="960"/>
      <c r="AL2" s="960"/>
      <c r="AM2" s="960"/>
      <c r="AN2" s="960"/>
      <c r="AO2" s="960"/>
    </row>
    <row r="3" spans="1:43" ht="25.5" customHeight="1">
      <c r="A3" s="961" t="str">
        <f>PL1.KH25!A3</f>
        <v>(Kèm theo Nghị quyết số 24/NQ-HĐND  ngày 22 tháng 8 năm 2025 của HĐND tỉnh Quảng Ngãi)</v>
      </c>
      <c r="B3" s="961"/>
      <c r="C3" s="961"/>
      <c r="D3" s="961"/>
      <c r="E3" s="961"/>
      <c r="F3" s="961"/>
      <c r="G3" s="961"/>
      <c r="H3" s="961"/>
      <c r="I3" s="961"/>
      <c r="J3" s="961"/>
      <c r="K3" s="961"/>
      <c r="L3" s="961"/>
      <c r="M3" s="961"/>
      <c r="N3" s="961"/>
      <c r="O3" s="961"/>
      <c r="P3" s="961"/>
      <c r="Q3" s="961"/>
      <c r="R3" s="961"/>
      <c r="S3" s="961"/>
      <c r="T3" s="961"/>
      <c r="U3" s="961"/>
      <c r="V3" s="961"/>
      <c r="W3" s="961"/>
      <c r="X3" s="961"/>
      <c r="Y3" s="961"/>
      <c r="Z3" s="961"/>
      <c r="AA3" s="961"/>
      <c r="AB3" s="961"/>
      <c r="AC3" s="961"/>
      <c r="AD3" s="961"/>
      <c r="AE3" s="961"/>
      <c r="AF3" s="961"/>
      <c r="AG3" s="961"/>
      <c r="AH3" s="961"/>
      <c r="AI3" s="961"/>
      <c r="AJ3" s="961"/>
      <c r="AK3" s="961"/>
      <c r="AL3" s="961"/>
      <c r="AM3" s="961"/>
      <c r="AN3" s="961"/>
      <c r="AO3" s="961"/>
    </row>
    <row r="4" spans="1:43" ht="30" customHeight="1">
      <c r="A4" s="962" t="s">
        <v>388</v>
      </c>
      <c r="B4" s="962"/>
      <c r="C4" s="962"/>
      <c r="D4" s="962"/>
      <c r="E4" s="962"/>
      <c r="F4" s="962"/>
      <c r="G4" s="962"/>
      <c r="H4" s="962"/>
      <c r="I4" s="962"/>
      <c r="J4" s="962"/>
      <c r="K4" s="962"/>
      <c r="L4" s="962"/>
      <c r="M4" s="962"/>
      <c r="N4" s="962"/>
      <c r="O4" s="962"/>
      <c r="P4" s="962"/>
      <c r="Q4" s="962"/>
      <c r="R4" s="962"/>
      <c r="S4" s="962"/>
      <c r="T4" s="962"/>
      <c r="U4" s="962"/>
      <c r="V4" s="962"/>
      <c r="W4" s="962"/>
      <c r="X4" s="962"/>
      <c r="Y4" s="962"/>
      <c r="Z4" s="962"/>
      <c r="AA4" s="962"/>
      <c r="AB4" s="962"/>
      <c r="AC4" s="962"/>
      <c r="AD4" s="962"/>
      <c r="AE4" s="962"/>
      <c r="AF4" s="962"/>
      <c r="AG4" s="962"/>
      <c r="AH4" s="962"/>
      <c r="AI4" s="962"/>
      <c r="AJ4" s="962"/>
      <c r="AK4" s="962"/>
      <c r="AL4" s="962"/>
      <c r="AM4" s="962"/>
      <c r="AN4" s="962"/>
      <c r="AO4" s="962"/>
    </row>
    <row r="5" spans="1:43" s="359" customFormat="1" ht="33" customHeight="1">
      <c r="A5" s="957" t="s">
        <v>403</v>
      </c>
      <c r="B5" s="957" t="s">
        <v>389</v>
      </c>
      <c r="C5" s="957" t="s">
        <v>1689</v>
      </c>
      <c r="D5" s="957" t="s">
        <v>4</v>
      </c>
      <c r="E5" s="957" t="s">
        <v>1690</v>
      </c>
      <c r="F5" s="957" t="s">
        <v>1691</v>
      </c>
      <c r="G5" s="957" t="s">
        <v>1692</v>
      </c>
      <c r="H5" s="957" t="s">
        <v>406</v>
      </c>
      <c r="I5" s="957"/>
      <c r="J5" s="957"/>
      <c r="K5" s="957"/>
      <c r="L5" s="957"/>
      <c r="M5" s="957"/>
      <c r="N5" s="957"/>
      <c r="O5" s="957"/>
      <c r="P5" s="957" t="s">
        <v>1662</v>
      </c>
      <c r="Q5" s="957"/>
      <c r="R5" s="957"/>
      <c r="S5" s="957"/>
      <c r="T5" s="957"/>
      <c r="U5" s="957"/>
      <c r="V5" s="957"/>
      <c r="W5" s="957"/>
      <c r="X5" s="957"/>
      <c r="Y5" s="957"/>
      <c r="Z5" s="957"/>
      <c r="AA5" s="957"/>
      <c r="AB5" s="957" t="s">
        <v>1669</v>
      </c>
      <c r="AC5" s="957"/>
      <c r="AD5" s="957"/>
      <c r="AE5" s="957"/>
      <c r="AF5" s="957"/>
      <c r="AG5" s="957"/>
      <c r="AH5" s="957"/>
      <c r="AI5" s="957"/>
      <c r="AJ5" s="957" t="s">
        <v>1719</v>
      </c>
      <c r="AK5" s="957"/>
      <c r="AL5" s="957"/>
      <c r="AM5" s="957"/>
      <c r="AN5" s="957"/>
      <c r="AO5" s="957" t="s">
        <v>16</v>
      </c>
    </row>
    <row r="6" spans="1:43" s="359" customFormat="1" ht="90.75" customHeight="1">
      <c r="A6" s="957"/>
      <c r="B6" s="957"/>
      <c r="C6" s="957"/>
      <c r="D6" s="957"/>
      <c r="E6" s="957"/>
      <c r="F6" s="957"/>
      <c r="G6" s="957"/>
      <c r="H6" s="957" t="s">
        <v>1693</v>
      </c>
      <c r="I6" s="957" t="s">
        <v>1670</v>
      </c>
      <c r="J6" s="957"/>
      <c r="K6" s="957"/>
      <c r="L6" s="957"/>
      <c r="M6" s="957"/>
      <c r="N6" s="957"/>
      <c r="O6" s="957"/>
      <c r="P6" s="957" t="s">
        <v>1694</v>
      </c>
      <c r="Q6" s="957"/>
      <c r="R6" s="957"/>
      <c r="S6" s="957" t="s">
        <v>1768</v>
      </c>
      <c r="T6" s="957"/>
      <c r="U6" s="957"/>
      <c r="V6" s="957" t="s">
        <v>1695</v>
      </c>
      <c r="W6" s="957"/>
      <c r="X6" s="957"/>
      <c r="Y6" s="957" t="s">
        <v>1696</v>
      </c>
      <c r="Z6" s="957"/>
      <c r="AA6" s="957"/>
      <c r="AB6" s="957" t="s">
        <v>1671</v>
      </c>
      <c r="AC6" s="957"/>
      <c r="AD6" s="957"/>
      <c r="AE6" s="957"/>
      <c r="AF6" s="957" t="s">
        <v>1697</v>
      </c>
      <c r="AG6" s="957"/>
      <c r="AH6" s="957"/>
      <c r="AI6" s="957"/>
      <c r="AJ6" s="957"/>
      <c r="AK6" s="957"/>
      <c r="AL6" s="957"/>
      <c r="AM6" s="957"/>
      <c r="AN6" s="957"/>
      <c r="AO6" s="957"/>
    </row>
    <row r="7" spans="1:43" s="359" customFormat="1" ht="30.75" customHeight="1">
      <c r="A7" s="957"/>
      <c r="B7" s="957"/>
      <c r="C7" s="957"/>
      <c r="D7" s="957"/>
      <c r="E7" s="957"/>
      <c r="F7" s="957"/>
      <c r="G7" s="957"/>
      <c r="H7" s="957"/>
      <c r="I7" s="957" t="s">
        <v>1672</v>
      </c>
      <c r="J7" s="959" t="s">
        <v>390</v>
      </c>
      <c r="K7" s="959"/>
      <c r="L7" s="959"/>
      <c r="M7" s="959"/>
      <c r="N7" s="959"/>
      <c r="O7" s="959"/>
      <c r="P7" s="957" t="s">
        <v>19</v>
      </c>
      <c r="Q7" s="958" t="s">
        <v>390</v>
      </c>
      <c r="R7" s="958"/>
      <c r="S7" s="957" t="s">
        <v>19</v>
      </c>
      <c r="T7" s="958" t="s">
        <v>390</v>
      </c>
      <c r="U7" s="958"/>
      <c r="V7" s="957" t="s">
        <v>19</v>
      </c>
      <c r="W7" s="958" t="s">
        <v>390</v>
      </c>
      <c r="X7" s="958"/>
      <c r="Y7" s="957" t="s">
        <v>19</v>
      </c>
      <c r="Z7" s="958" t="s">
        <v>390</v>
      </c>
      <c r="AA7" s="958"/>
      <c r="AB7" s="957" t="s">
        <v>19</v>
      </c>
      <c r="AC7" s="958" t="s">
        <v>390</v>
      </c>
      <c r="AD7" s="958"/>
      <c r="AE7" s="958"/>
      <c r="AF7" s="957" t="s">
        <v>19</v>
      </c>
      <c r="AG7" s="958" t="s">
        <v>390</v>
      </c>
      <c r="AH7" s="958"/>
      <c r="AI7" s="958"/>
      <c r="AJ7" s="957" t="s">
        <v>19</v>
      </c>
      <c r="AK7" s="958" t="s">
        <v>390</v>
      </c>
      <c r="AL7" s="958"/>
      <c r="AM7" s="958"/>
      <c r="AN7" s="958"/>
      <c r="AO7" s="957"/>
    </row>
    <row r="8" spans="1:43" s="359" customFormat="1" ht="39.75" customHeight="1">
      <c r="A8" s="957"/>
      <c r="B8" s="957"/>
      <c r="C8" s="957"/>
      <c r="D8" s="957"/>
      <c r="E8" s="957"/>
      <c r="F8" s="957"/>
      <c r="G8" s="957"/>
      <c r="H8" s="957"/>
      <c r="I8" s="957"/>
      <c r="J8" s="957" t="s">
        <v>391</v>
      </c>
      <c r="K8" s="957"/>
      <c r="L8" s="957" t="s">
        <v>392</v>
      </c>
      <c r="M8" s="957"/>
      <c r="N8" s="957"/>
      <c r="O8" s="957"/>
      <c r="P8" s="957"/>
      <c r="Q8" s="957" t="s">
        <v>391</v>
      </c>
      <c r="R8" s="957" t="s">
        <v>1666</v>
      </c>
      <c r="S8" s="957"/>
      <c r="T8" s="957" t="s">
        <v>391</v>
      </c>
      <c r="U8" s="957" t="s">
        <v>1666</v>
      </c>
      <c r="V8" s="957"/>
      <c r="W8" s="957" t="s">
        <v>391</v>
      </c>
      <c r="X8" s="957" t="s">
        <v>1666</v>
      </c>
      <c r="Y8" s="957"/>
      <c r="Z8" s="957" t="s">
        <v>391</v>
      </c>
      <c r="AA8" s="957" t="s">
        <v>1666</v>
      </c>
      <c r="AB8" s="957"/>
      <c r="AC8" s="957" t="s">
        <v>1698</v>
      </c>
      <c r="AD8" s="957"/>
      <c r="AE8" s="957" t="s">
        <v>1699</v>
      </c>
      <c r="AF8" s="957"/>
      <c r="AG8" s="957" t="s">
        <v>1698</v>
      </c>
      <c r="AH8" s="957"/>
      <c r="AI8" s="957" t="s">
        <v>1699</v>
      </c>
      <c r="AJ8" s="957"/>
      <c r="AK8" s="957" t="s">
        <v>1698</v>
      </c>
      <c r="AL8" s="957"/>
      <c r="AM8" s="957" t="s">
        <v>1718</v>
      </c>
      <c r="AN8" s="957" t="s">
        <v>1699</v>
      </c>
      <c r="AO8" s="957"/>
    </row>
    <row r="9" spans="1:43" s="359" customFormat="1" ht="21.75" customHeight="1">
      <c r="A9" s="957"/>
      <c r="B9" s="957"/>
      <c r="C9" s="957"/>
      <c r="D9" s="957"/>
      <c r="E9" s="957"/>
      <c r="F9" s="957"/>
      <c r="G9" s="957"/>
      <c r="H9" s="957"/>
      <c r="I9" s="957"/>
      <c r="J9" s="957"/>
      <c r="K9" s="957"/>
      <c r="L9" s="957"/>
      <c r="M9" s="957"/>
      <c r="N9" s="957"/>
      <c r="O9" s="957"/>
      <c r="P9" s="957"/>
      <c r="Q9" s="957"/>
      <c r="R9" s="957"/>
      <c r="S9" s="957"/>
      <c r="T9" s="957"/>
      <c r="U9" s="957"/>
      <c r="V9" s="957"/>
      <c r="W9" s="957"/>
      <c r="X9" s="957"/>
      <c r="Y9" s="957"/>
      <c r="Z9" s="957"/>
      <c r="AA9" s="957"/>
      <c r="AB9" s="957"/>
      <c r="AC9" s="957" t="s">
        <v>19</v>
      </c>
      <c r="AD9" s="957" t="s">
        <v>1700</v>
      </c>
      <c r="AE9" s="957"/>
      <c r="AF9" s="957"/>
      <c r="AG9" s="957" t="s">
        <v>19</v>
      </c>
      <c r="AH9" s="957" t="s">
        <v>1700</v>
      </c>
      <c r="AI9" s="957"/>
      <c r="AJ9" s="957"/>
      <c r="AK9" s="957" t="s">
        <v>19</v>
      </c>
      <c r="AL9" s="957" t="s">
        <v>1700</v>
      </c>
      <c r="AM9" s="957"/>
      <c r="AN9" s="957"/>
      <c r="AO9" s="957"/>
    </row>
    <row r="10" spans="1:43" s="359" customFormat="1" ht="22.65" customHeight="1">
      <c r="A10" s="957"/>
      <c r="B10" s="957"/>
      <c r="C10" s="957"/>
      <c r="D10" s="957"/>
      <c r="E10" s="957"/>
      <c r="F10" s="957"/>
      <c r="G10" s="957"/>
      <c r="H10" s="957"/>
      <c r="I10" s="957"/>
      <c r="J10" s="957" t="s">
        <v>19</v>
      </c>
      <c r="K10" s="957" t="s">
        <v>1701</v>
      </c>
      <c r="L10" s="957" t="s">
        <v>393</v>
      </c>
      <c r="M10" s="957" t="s">
        <v>394</v>
      </c>
      <c r="N10" s="957"/>
      <c r="O10" s="957"/>
      <c r="P10" s="957"/>
      <c r="Q10" s="957"/>
      <c r="R10" s="957"/>
      <c r="S10" s="957"/>
      <c r="T10" s="957"/>
      <c r="U10" s="957"/>
      <c r="V10" s="957"/>
      <c r="W10" s="957"/>
      <c r="X10" s="957"/>
      <c r="Y10" s="957"/>
      <c r="Z10" s="957"/>
      <c r="AA10" s="957"/>
      <c r="AB10" s="957"/>
      <c r="AC10" s="957"/>
      <c r="AD10" s="957"/>
      <c r="AE10" s="957"/>
      <c r="AF10" s="957"/>
      <c r="AG10" s="957"/>
      <c r="AH10" s="957"/>
      <c r="AI10" s="957"/>
      <c r="AJ10" s="957"/>
      <c r="AK10" s="957"/>
      <c r="AL10" s="957"/>
      <c r="AM10" s="957"/>
      <c r="AN10" s="957"/>
      <c r="AO10" s="957"/>
    </row>
    <row r="11" spans="1:43" s="359" customFormat="1" ht="24.75" customHeight="1">
      <c r="A11" s="957"/>
      <c r="B11" s="957"/>
      <c r="C11" s="957"/>
      <c r="D11" s="957"/>
      <c r="E11" s="957"/>
      <c r="F11" s="957"/>
      <c r="G11" s="957"/>
      <c r="H11" s="957"/>
      <c r="I11" s="957"/>
      <c r="J11" s="957"/>
      <c r="K11" s="957"/>
      <c r="L11" s="957"/>
      <c r="M11" s="957" t="s">
        <v>19</v>
      </c>
      <c r="N11" s="957" t="s">
        <v>23</v>
      </c>
      <c r="O11" s="957"/>
      <c r="P11" s="957"/>
      <c r="Q11" s="957"/>
      <c r="R11" s="957"/>
      <c r="S11" s="957"/>
      <c r="T11" s="957"/>
      <c r="U11" s="957"/>
      <c r="V11" s="957"/>
      <c r="W11" s="957"/>
      <c r="X11" s="957"/>
      <c r="Y11" s="957"/>
      <c r="Z11" s="957"/>
      <c r="AA11" s="957"/>
      <c r="AB11" s="957"/>
      <c r="AC11" s="957"/>
      <c r="AD11" s="957"/>
      <c r="AE11" s="957"/>
      <c r="AF11" s="957"/>
      <c r="AG11" s="957"/>
      <c r="AH11" s="957"/>
      <c r="AI11" s="957"/>
      <c r="AJ11" s="957"/>
      <c r="AK11" s="957"/>
      <c r="AL11" s="957"/>
      <c r="AM11" s="957"/>
      <c r="AN11" s="957"/>
      <c r="AO11" s="957"/>
    </row>
    <row r="12" spans="1:43" s="359" customFormat="1" ht="81.599999999999994" customHeight="1">
      <c r="A12" s="957"/>
      <c r="B12" s="957"/>
      <c r="C12" s="957"/>
      <c r="D12" s="957"/>
      <c r="E12" s="957"/>
      <c r="F12" s="957"/>
      <c r="G12" s="957"/>
      <c r="H12" s="957"/>
      <c r="I12" s="957"/>
      <c r="J12" s="957"/>
      <c r="K12" s="957"/>
      <c r="L12" s="957"/>
      <c r="M12" s="957"/>
      <c r="N12" s="762" t="s">
        <v>395</v>
      </c>
      <c r="O12" s="762" t="s">
        <v>396</v>
      </c>
      <c r="P12" s="957"/>
      <c r="Q12" s="957"/>
      <c r="R12" s="957"/>
      <c r="S12" s="957"/>
      <c r="T12" s="957"/>
      <c r="U12" s="957"/>
      <c r="V12" s="957"/>
      <c r="W12" s="957"/>
      <c r="X12" s="957"/>
      <c r="Y12" s="957"/>
      <c r="Z12" s="957"/>
      <c r="AA12" s="957"/>
      <c r="AB12" s="957"/>
      <c r="AC12" s="957"/>
      <c r="AD12" s="957"/>
      <c r="AE12" s="957"/>
      <c r="AF12" s="957"/>
      <c r="AG12" s="957"/>
      <c r="AH12" s="957"/>
      <c r="AI12" s="957"/>
      <c r="AJ12" s="957"/>
      <c r="AK12" s="957"/>
      <c r="AL12" s="957"/>
      <c r="AM12" s="957"/>
      <c r="AN12" s="957"/>
      <c r="AO12" s="957"/>
    </row>
    <row r="13" spans="1:43" s="360" customFormat="1" ht="30.75" customHeight="1">
      <c r="A13" s="380">
        <v>1</v>
      </c>
      <c r="B13" s="380">
        <f>A13+1</f>
        <v>2</v>
      </c>
      <c r="C13" s="380">
        <v>3</v>
      </c>
      <c r="D13" s="380">
        <v>4</v>
      </c>
      <c r="E13" s="380">
        <v>5</v>
      </c>
      <c r="F13" s="380">
        <v>6</v>
      </c>
      <c r="G13" s="380">
        <v>7</v>
      </c>
      <c r="H13" s="380">
        <v>8</v>
      </c>
      <c r="I13" s="380">
        <v>9</v>
      </c>
      <c r="J13" s="380">
        <v>10</v>
      </c>
      <c r="K13" s="380">
        <v>11</v>
      </c>
      <c r="L13" s="380">
        <v>12</v>
      </c>
      <c r="M13" s="380">
        <v>13</v>
      </c>
      <c r="N13" s="380">
        <v>14</v>
      </c>
      <c r="O13" s="380">
        <v>15</v>
      </c>
      <c r="P13" s="380">
        <v>16</v>
      </c>
      <c r="Q13" s="380">
        <v>17</v>
      </c>
      <c r="R13" s="380">
        <v>18</v>
      </c>
      <c r="S13" s="380">
        <v>19</v>
      </c>
      <c r="T13" s="380">
        <v>20</v>
      </c>
      <c r="U13" s="380">
        <v>21</v>
      </c>
      <c r="V13" s="380">
        <v>22</v>
      </c>
      <c r="W13" s="380">
        <v>23</v>
      </c>
      <c r="X13" s="380">
        <v>24</v>
      </c>
      <c r="Y13" s="380">
        <v>25</v>
      </c>
      <c r="Z13" s="380">
        <v>26</v>
      </c>
      <c r="AA13" s="380">
        <v>27</v>
      </c>
      <c r="AB13" s="380">
        <v>28</v>
      </c>
      <c r="AC13" s="380">
        <v>29</v>
      </c>
      <c r="AD13" s="380">
        <v>30</v>
      </c>
      <c r="AE13" s="380">
        <v>31</v>
      </c>
      <c r="AF13" s="380">
        <v>32</v>
      </c>
      <c r="AG13" s="380">
        <v>33</v>
      </c>
      <c r="AH13" s="380">
        <v>34</v>
      </c>
      <c r="AI13" s="380">
        <v>35</v>
      </c>
      <c r="AJ13" s="380">
        <v>36</v>
      </c>
      <c r="AK13" s="380">
        <v>37</v>
      </c>
      <c r="AL13" s="380">
        <v>38</v>
      </c>
      <c r="AM13" s="380">
        <v>39</v>
      </c>
      <c r="AN13" s="380">
        <v>40</v>
      </c>
      <c r="AO13" s="380">
        <v>41</v>
      </c>
    </row>
    <row r="14" spans="1:43" s="370" customFormat="1" ht="36.75" customHeight="1">
      <c r="A14" s="667"/>
      <c r="B14" s="668" t="s">
        <v>34</v>
      </c>
      <c r="C14" s="668"/>
      <c r="D14" s="668"/>
      <c r="E14" s="667"/>
      <c r="F14" s="667"/>
      <c r="G14" s="667"/>
      <c r="H14" s="667"/>
      <c r="I14" s="667">
        <f>I15</f>
        <v>1416141.7519999999</v>
      </c>
      <c r="J14" s="667">
        <f>J15</f>
        <v>275813</v>
      </c>
      <c r="K14" s="667"/>
      <c r="L14" s="667"/>
      <c r="M14" s="667">
        <f>M15</f>
        <v>1133470.219</v>
      </c>
      <c r="N14" s="667">
        <f t="shared" ref="N14:AC15" si="0">N15</f>
        <v>852498.21900000004</v>
      </c>
      <c r="O14" s="667">
        <f t="shared" si="0"/>
        <v>280972</v>
      </c>
      <c r="P14" s="667">
        <f t="shared" si="0"/>
        <v>23118</v>
      </c>
      <c r="Q14" s="667">
        <f t="shared" si="0"/>
        <v>7808</v>
      </c>
      <c r="R14" s="667">
        <f t="shared" si="0"/>
        <v>15310</v>
      </c>
      <c r="S14" s="667">
        <f t="shared" si="0"/>
        <v>693</v>
      </c>
      <c r="T14" s="667">
        <f t="shared" si="0"/>
        <v>718</v>
      </c>
      <c r="U14" s="667">
        <f t="shared" si="0"/>
        <v>2741</v>
      </c>
      <c r="V14" s="667">
        <f t="shared" si="0"/>
        <v>1300</v>
      </c>
      <c r="W14" s="667">
        <f t="shared" si="0"/>
        <v>1350</v>
      </c>
      <c r="X14" s="667">
        <f t="shared" si="0"/>
        <v>3141</v>
      </c>
      <c r="Y14" s="667">
        <f t="shared" si="0"/>
        <v>5308</v>
      </c>
      <c r="Z14" s="667">
        <f t="shared" si="0"/>
        <v>5408</v>
      </c>
      <c r="AA14" s="667">
        <f t="shared" si="0"/>
        <v>6310</v>
      </c>
      <c r="AB14" s="667">
        <f t="shared" si="0"/>
        <v>255621</v>
      </c>
      <c r="AC14" s="667">
        <f t="shared" si="0"/>
        <v>0</v>
      </c>
      <c r="AD14" s="667">
        <f t="shared" ref="AD14:AN15" si="1">AD15</f>
        <v>0</v>
      </c>
      <c r="AE14" s="667">
        <f t="shared" si="1"/>
        <v>229313</v>
      </c>
      <c r="AF14" s="667">
        <f t="shared" si="1"/>
        <v>51828</v>
      </c>
      <c r="AG14" s="667">
        <f t="shared" si="1"/>
        <v>0</v>
      </c>
      <c r="AH14" s="667">
        <f t="shared" si="1"/>
        <v>0</v>
      </c>
      <c r="AI14" s="667">
        <f t="shared" si="1"/>
        <v>34065</v>
      </c>
      <c r="AJ14" s="667">
        <f t="shared" si="1"/>
        <v>126850</v>
      </c>
      <c r="AK14" s="667">
        <f t="shared" si="1"/>
        <v>0</v>
      </c>
      <c r="AL14" s="667">
        <f t="shared" si="1"/>
        <v>0</v>
      </c>
      <c r="AM14" s="667">
        <f t="shared" si="1"/>
        <v>30181</v>
      </c>
      <c r="AN14" s="667">
        <f t="shared" si="1"/>
        <v>75168</v>
      </c>
      <c r="AO14" s="667"/>
      <c r="AQ14" s="370">
        <f>AJ14-AN14</f>
        <v>51682</v>
      </c>
    </row>
    <row r="15" spans="1:43" s="370" customFormat="1" ht="44.4" customHeight="1">
      <c r="A15" s="669" t="s">
        <v>35</v>
      </c>
      <c r="B15" s="670" t="s">
        <v>1702</v>
      </c>
      <c r="C15" s="671"/>
      <c r="D15" s="671"/>
      <c r="E15" s="669"/>
      <c r="F15" s="669"/>
      <c r="G15" s="669"/>
      <c r="H15" s="669"/>
      <c r="I15" s="669">
        <f>I16</f>
        <v>1416141.7519999999</v>
      </c>
      <c r="J15" s="669">
        <f>J16</f>
        <v>275813</v>
      </c>
      <c r="K15" s="669"/>
      <c r="L15" s="669"/>
      <c r="M15" s="669">
        <f>M16</f>
        <v>1133470.219</v>
      </c>
      <c r="N15" s="669">
        <f t="shared" si="0"/>
        <v>852498.21900000004</v>
      </c>
      <c r="O15" s="669">
        <f t="shared" si="0"/>
        <v>280972</v>
      </c>
      <c r="P15" s="669">
        <f t="shared" si="0"/>
        <v>23118</v>
      </c>
      <c r="Q15" s="669">
        <f t="shared" si="0"/>
        <v>7808</v>
      </c>
      <c r="R15" s="669">
        <f t="shared" si="0"/>
        <v>15310</v>
      </c>
      <c r="S15" s="669">
        <f t="shared" si="0"/>
        <v>693</v>
      </c>
      <c r="T15" s="669">
        <f t="shared" si="0"/>
        <v>718</v>
      </c>
      <c r="U15" s="669">
        <f t="shared" si="0"/>
        <v>2741</v>
      </c>
      <c r="V15" s="669">
        <f t="shared" si="0"/>
        <v>1300</v>
      </c>
      <c r="W15" s="669">
        <f t="shared" si="0"/>
        <v>1350</v>
      </c>
      <c r="X15" s="669">
        <f t="shared" si="0"/>
        <v>3141</v>
      </c>
      <c r="Y15" s="669">
        <f t="shared" si="0"/>
        <v>5308</v>
      </c>
      <c r="Z15" s="669">
        <f t="shared" si="0"/>
        <v>5408</v>
      </c>
      <c r="AA15" s="669">
        <f t="shared" si="0"/>
        <v>6310</v>
      </c>
      <c r="AB15" s="669">
        <f t="shared" si="0"/>
        <v>255621</v>
      </c>
      <c r="AC15" s="669">
        <f t="shared" si="0"/>
        <v>0</v>
      </c>
      <c r="AD15" s="669">
        <f t="shared" si="1"/>
        <v>0</v>
      </c>
      <c r="AE15" s="669">
        <f t="shared" si="1"/>
        <v>229313</v>
      </c>
      <c r="AF15" s="669">
        <f t="shared" si="1"/>
        <v>51828</v>
      </c>
      <c r="AG15" s="669">
        <f t="shared" si="1"/>
        <v>0</v>
      </c>
      <c r="AH15" s="669">
        <f t="shared" si="1"/>
        <v>0</v>
      </c>
      <c r="AI15" s="669">
        <f t="shared" si="1"/>
        <v>34065</v>
      </c>
      <c r="AJ15" s="669">
        <f t="shared" si="1"/>
        <v>126850</v>
      </c>
      <c r="AK15" s="669">
        <f t="shared" si="1"/>
        <v>0</v>
      </c>
      <c r="AL15" s="669">
        <f t="shared" si="1"/>
        <v>0</v>
      </c>
      <c r="AM15" s="669">
        <f t="shared" si="1"/>
        <v>30181</v>
      </c>
      <c r="AN15" s="669">
        <f t="shared" si="1"/>
        <v>75168</v>
      </c>
      <c r="AO15" s="669"/>
    </row>
    <row r="16" spans="1:43" s="354" customFormat="1" ht="48" customHeight="1">
      <c r="A16" s="672" t="s">
        <v>39</v>
      </c>
      <c r="B16" s="673" t="s">
        <v>1703</v>
      </c>
      <c r="C16" s="673"/>
      <c r="D16" s="673"/>
      <c r="E16" s="371"/>
      <c r="F16" s="371"/>
      <c r="G16" s="371"/>
      <c r="H16" s="371"/>
      <c r="I16" s="674">
        <f>I36+I40</f>
        <v>1416141.7519999999</v>
      </c>
      <c r="J16" s="674">
        <f t="shared" ref="J16:AN16" si="2">J36+J40</f>
        <v>275813</v>
      </c>
      <c r="K16" s="674">
        <f t="shared" si="2"/>
        <v>0</v>
      </c>
      <c r="L16" s="674">
        <f t="shared" si="2"/>
        <v>0</v>
      </c>
      <c r="M16" s="674">
        <f t="shared" si="2"/>
        <v>1133470.219</v>
      </c>
      <c r="N16" s="674">
        <f t="shared" si="2"/>
        <v>852498.21900000004</v>
      </c>
      <c r="O16" s="674">
        <f t="shared" si="2"/>
        <v>280972</v>
      </c>
      <c r="P16" s="674">
        <f t="shared" si="2"/>
        <v>23118</v>
      </c>
      <c r="Q16" s="674">
        <f t="shared" si="2"/>
        <v>7808</v>
      </c>
      <c r="R16" s="674">
        <f t="shared" si="2"/>
        <v>15310</v>
      </c>
      <c r="S16" s="674">
        <f t="shared" si="2"/>
        <v>693</v>
      </c>
      <c r="T16" s="674">
        <f t="shared" si="2"/>
        <v>718</v>
      </c>
      <c r="U16" s="674">
        <f t="shared" si="2"/>
        <v>2741</v>
      </c>
      <c r="V16" s="674">
        <f t="shared" si="2"/>
        <v>1300</v>
      </c>
      <c r="W16" s="674">
        <f t="shared" si="2"/>
        <v>1350</v>
      </c>
      <c r="X16" s="674">
        <f t="shared" si="2"/>
        <v>3141</v>
      </c>
      <c r="Y16" s="674">
        <f t="shared" si="2"/>
        <v>5308</v>
      </c>
      <c r="Z16" s="674">
        <f t="shared" si="2"/>
        <v>5408</v>
      </c>
      <c r="AA16" s="674">
        <f t="shared" si="2"/>
        <v>6310</v>
      </c>
      <c r="AB16" s="674">
        <f t="shared" si="2"/>
        <v>255621</v>
      </c>
      <c r="AC16" s="674">
        <f t="shared" si="2"/>
        <v>0</v>
      </c>
      <c r="AD16" s="674">
        <f t="shared" si="2"/>
        <v>0</v>
      </c>
      <c r="AE16" s="674">
        <f t="shared" si="2"/>
        <v>229313</v>
      </c>
      <c r="AF16" s="674">
        <f t="shared" si="2"/>
        <v>51828</v>
      </c>
      <c r="AG16" s="674">
        <f t="shared" si="2"/>
        <v>0</v>
      </c>
      <c r="AH16" s="674">
        <f t="shared" si="2"/>
        <v>0</v>
      </c>
      <c r="AI16" s="674">
        <f t="shared" si="2"/>
        <v>34065</v>
      </c>
      <c r="AJ16" s="674">
        <f t="shared" si="2"/>
        <v>126850</v>
      </c>
      <c r="AK16" s="674">
        <f t="shared" si="2"/>
        <v>0</v>
      </c>
      <c r="AL16" s="674">
        <f t="shared" si="2"/>
        <v>0</v>
      </c>
      <c r="AM16" s="674">
        <f t="shared" si="2"/>
        <v>30181</v>
      </c>
      <c r="AN16" s="674">
        <f t="shared" si="2"/>
        <v>75168</v>
      </c>
      <c r="AO16" s="675"/>
    </row>
    <row r="17" spans="1:41" s="353" customFormat="1" ht="31.65" hidden="1" customHeight="1">
      <c r="A17" s="676" t="s">
        <v>441</v>
      </c>
      <c r="B17" s="677" t="s">
        <v>1681</v>
      </c>
      <c r="C17" s="677"/>
      <c r="D17" s="677"/>
      <c r="E17" s="678"/>
      <c r="F17" s="678"/>
      <c r="G17" s="678"/>
      <c r="H17" s="678"/>
      <c r="I17" s="679"/>
      <c r="J17" s="679"/>
      <c r="K17" s="679"/>
      <c r="L17" s="679"/>
      <c r="M17" s="679"/>
      <c r="N17" s="679"/>
      <c r="O17" s="679"/>
      <c r="P17" s="679"/>
      <c r="Q17" s="679"/>
      <c r="R17" s="679"/>
      <c r="S17" s="679"/>
      <c r="T17" s="679"/>
      <c r="U17" s="679"/>
      <c r="V17" s="679"/>
      <c r="W17" s="679"/>
      <c r="X17" s="679"/>
      <c r="Y17" s="679"/>
      <c r="Z17" s="679"/>
      <c r="AA17" s="679"/>
      <c r="AB17" s="679"/>
      <c r="AC17" s="679"/>
      <c r="AD17" s="679"/>
      <c r="AE17" s="679"/>
      <c r="AF17" s="679"/>
      <c r="AG17" s="679"/>
      <c r="AH17" s="679"/>
      <c r="AI17" s="679"/>
      <c r="AJ17" s="679"/>
      <c r="AK17" s="679"/>
      <c r="AL17" s="679"/>
      <c r="AM17" s="679"/>
      <c r="AN17" s="679"/>
      <c r="AO17" s="679"/>
    </row>
    <row r="18" spans="1:41" ht="27.75" hidden="1" customHeight="1">
      <c r="A18" s="680" t="s">
        <v>1673</v>
      </c>
      <c r="B18" s="364" t="s">
        <v>1680</v>
      </c>
      <c r="C18" s="364"/>
      <c r="D18" s="364"/>
      <c r="E18" s="372"/>
      <c r="F18" s="372"/>
      <c r="G18" s="372"/>
      <c r="H18" s="372"/>
      <c r="I18" s="681"/>
      <c r="J18" s="681"/>
      <c r="K18" s="681"/>
      <c r="L18" s="681"/>
      <c r="M18" s="681"/>
      <c r="N18" s="681"/>
      <c r="O18" s="681"/>
      <c r="P18" s="681"/>
      <c r="Q18" s="681"/>
      <c r="R18" s="681"/>
      <c r="S18" s="681"/>
      <c r="T18" s="681"/>
      <c r="U18" s="681"/>
      <c r="V18" s="681"/>
      <c r="W18" s="681"/>
      <c r="X18" s="681"/>
      <c r="Y18" s="681"/>
      <c r="Z18" s="681"/>
      <c r="AA18" s="681"/>
      <c r="AB18" s="681"/>
      <c r="AC18" s="681"/>
      <c r="AD18" s="681"/>
      <c r="AE18" s="681"/>
      <c r="AF18" s="681"/>
      <c r="AG18" s="681"/>
      <c r="AH18" s="681"/>
      <c r="AI18" s="681"/>
      <c r="AJ18" s="681"/>
      <c r="AK18" s="681"/>
      <c r="AL18" s="681"/>
      <c r="AM18" s="681"/>
      <c r="AN18" s="681"/>
      <c r="AO18" s="681"/>
    </row>
    <row r="19" spans="1:41" ht="27.75" hidden="1" customHeight="1">
      <c r="A19" s="680" t="s">
        <v>1674</v>
      </c>
      <c r="B19" s="364" t="s">
        <v>1680</v>
      </c>
      <c r="C19" s="364"/>
      <c r="D19" s="364"/>
      <c r="E19" s="372"/>
      <c r="F19" s="372"/>
      <c r="G19" s="372"/>
      <c r="H19" s="372"/>
      <c r="I19" s="681"/>
      <c r="J19" s="681"/>
      <c r="K19" s="681"/>
      <c r="L19" s="681"/>
      <c r="M19" s="681"/>
      <c r="N19" s="681"/>
      <c r="O19" s="681"/>
      <c r="P19" s="681"/>
      <c r="Q19" s="681"/>
      <c r="R19" s="681"/>
      <c r="S19" s="681"/>
      <c r="T19" s="681"/>
      <c r="U19" s="681"/>
      <c r="V19" s="681"/>
      <c r="W19" s="681"/>
      <c r="X19" s="681"/>
      <c r="Y19" s="681"/>
      <c r="Z19" s="681"/>
      <c r="AA19" s="681"/>
      <c r="AB19" s="681"/>
      <c r="AC19" s="681"/>
      <c r="AD19" s="681"/>
      <c r="AE19" s="681"/>
      <c r="AF19" s="681"/>
      <c r="AG19" s="681"/>
      <c r="AH19" s="681"/>
      <c r="AI19" s="681"/>
      <c r="AJ19" s="681"/>
      <c r="AK19" s="681"/>
      <c r="AL19" s="681"/>
      <c r="AM19" s="681"/>
      <c r="AN19" s="681"/>
      <c r="AO19" s="681"/>
    </row>
    <row r="20" spans="1:41" ht="27.75" hidden="1" customHeight="1">
      <c r="A20" s="680" t="s">
        <v>1682</v>
      </c>
      <c r="B20" s="682" t="s">
        <v>1683</v>
      </c>
      <c r="C20" s="682"/>
      <c r="D20" s="682"/>
      <c r="E20" s="372"/>
      <c r="F20" s="372"/>
      <c r="G20" s="372"/>
      <c r="H20" s="372"/>
      <c r="I20" s="681"/>
      <c r="J20" s="681"/>
      <c r="K20" s="681"/>
      <c r="L20" s="681"/>
      <c r="M20" s="681"/>
      <c r="N20" s="681"/>
      <c r="O20" s="681"/>
      <c r="P20" s="681"/>
      <c r="Q20" s="681"/>
      <c r="R20" s="681"/>
      <c r="S20" s="681"/>
      <c r="T20" s="681"/>
      <c r="U20" s="681"/>
      <c r="V20" s="681"/>
      <c r="W20" s="681"/>
      <c r="X20" s="681"/>
      <c r="Y20" s="681"/>
      <c r="Z20" s="681"/>
      <c r="AA20" s="681"/>
      <c r="AB20" s="681"/>
      <c r="AC20" s="681"/>
      <c r="AD20" s="681"/>
      <c r="AE20" s="681"/>
      <c r="AF20" s="681"/>
      <c r="AG20" s="681"/>
      <c r="AH20" s="681"/>
      <c r="AI20" s="681"/>
      <c r="AJ20" s="681"/>
      <c r="AK20" s="681"/>
      <c r="AL20" s="681"/>
      <c r="AM20" s="681"/>
      <c r="AN20" s="681"/>
      <c r="AO20" s="681"/>
    </row>
    <row r="21" spans="1:41" s="353" customFormat="1" ht="27.75" hidden="1" customHeight="1">
      <c r="A21" s="676" t="s">
        <v>498</v>
      </c>
      <c r="B21" s="677" t="s">
        <v>1677</v>
      </c>
      <c r="C21" s="677"/>
      <c r="D21" s="677"/>
      <c r="E21" s="678"/>
      <c r="F21" s="678"/>
      <c r="G21" s="678"/>
      <c r="H21" s="678"/>
      <c r="I21" s="679"/>
      <c r="J21" s="679"/>
      <c r="K21" s="679"/>
      <c r="L21" s="679"/>
      <c r="M21" s="679"/>
      <c r="N21" s="679"/>
      <c r="O21" s="679"/>
      <c r="P21" s="679"/>
      <c r="Q21" s="679"/>
      <c r="R21" s="679"/>
      <c r="S21" s="679"/>
      <c r="T21" s="679"/>
      <c r="U21" s="679"/>
      <c r="V21" s="679"/>
      <c r="W21" s="679"/>
      <c r="X21" s="679"/>
      <c r="Y21" s="679"/>
      <c r="Z21" s="679"/>
      <c r="AA21" s="679"/>
      <c r="AB21" s="679"/>
      <c r="AC21" s="679"/>
      <c r="AD21" s="679"/>
      <c r="AE21" s="679"/>
      <c r="AF21" s="679"/>
      <c r="AG21" s="679"/>
      <c r="AH21" s="679"/>
      <c r="AI21" s="679"/>
      <c r="AJ21" s="679"/>
      <c r="AK21" s="679"/>
      <c r="AL21" s="679"/>
      <c r="AM21" s="679"/>
      <c r="AN21" s="679"/>
      <c r="AO21" s="679"/>
    </row>
    <row r="22" spans="1:41" ht="27.75" hidden="1" customHeight="1">
      <c r="A22" s="680" t="s">
        <v>1673</v>
      </c>
      <c r="B22" s="364" t="s">
        <v>1680</v>
      </c>
      <c r="C22" s="364"/>
      <c r="D22" s="364"/>
      <c r="E22" s="372"/>
      <c r="F22" s="372"/>
      <c r="G22" s="372"/>
      <c r="H22" s="372"/>
      <c r="I22" s="681"/>
      <c r="J22" s="681"/>
      <c r="K22" s="681"/>
      <c r="L22" s="681"/>
      <c r="M22" s="681"/>
      <c r="N22" s="681"/>
      <c r="O22" s="681"/>
      <c r="P22" s="681"/>
      <c r="Q22" s="681"/>
      <c r="R22" s="681"/>
      <c r="S22" s="681"/>
      <c r="T22" s="681"/>
      <c r="U22" s="681"/>
      <c r="V22" s="681"/>
      <c r="W22" s="681"/>
      <c r="X22" s="681"/>
      <c r="Y22" s="681"/>
      <c r="Z22" s="681"/>
      <c r="AA22" s="681"/>
      <c r="AB22" s="681"/>
      <c r="AC22" s="681"/>
      <c r="AD22" s="681"/>
      <c r="AE22" s="681"/>
      <c r="AF22" s="681"/>
      <c r="AG22" s="681"/>
      <c r="AH22" s="681"/>
      <c r="AI22" s="681"/>
      <c r="AJ22" s="681"/>
      <c r="AK22" s="681"/>
      <c r="AL22" s="681"/>
      <c r="AM22" s="681"/>
      <c r="AN22" s="681"/>
      <c r="AO22" s="681"/>
    </row>
    <row r="23" spans="1:41" ht="27.75" hidden="1" customHeight="1">
      <c r="A23" s="680" t="s">
        <v>1682</v>
      </c>
      <c r="B23" s="682" t="s">
        <v>1683</v>
      </c>
      <c r="C23" s="682"/>
      <c r="D23" s="682"/>
      <c r="E23" s="372"/>
      <c r="F23" s="372"/>
      <c r="G23" s="372"/>
      <c r="H23" s="372"/>
      <c r="I23" s="681"/>
      <c r="J23" s="681"/>
      <c r="K23" s="681"/>
      <c r="L23" s="681"/>
      <c r="M23" s="681"/>
      <c r="N23" s="681"/>
      <c r="O23" s="681"/>
      <c r="P23" s="681"/>
      <c r="Q23" s="681"/>
      <c r="R23" s="681"/>
      <c r="S23" s="681"/>
      <c r="T23" s="681"/>
      <c r="U23" s="681"/>
      <c r="V23" s="681"/>
      <c r="W23" s="681"/>
      <c r="X23" s="681"/>
      <c r="Y23" s="681"/>
      <c r="Z23" s="681"/>
      <c r="AA23" s="681"/>
      <c r="AB23" s="681"/>
      <c r="AC23" s="681"/>
      <c r="AD23" s="681"/>
      <c r="AE23" s="681"/>
      <c r="AF23" s="681"/>
      <c r="AG23" s="681"/>
      <c r="AH23" s="681"/>
      <c r="AI23" s="681"/>
      <c r="AJ23" s="681"/>
      <c r="AK23" s="681"/>
      <c r="AL23" s="681"/>
      <c r="AM23" s="681"/>
      <c r="AN23" s="681"/>
      <c r="AO23" s="681"/>
    </row>
    <row r="24" spans="1:41" s="353" customFormat="1" ht="27.75" hidden="1" customHeight="1">
      <c r="A24" s="676" t="s">
        <v>509</v>
      </c>
      <c r="B24" s="677" t="s">
        <v>1676</v>
      </c>
      <c r="C24" s="677"/>
      <c r="D24" s="677"/>
      <c r="E24" s="678"/>
      <c r="F24" s="678"/>
      <c r="G24" s="678"/>
      <c r="H24" s="678"/>
      <c r="I24" s="679"/>
      <c r="J24" s="679"/>
      <c r="K24" s="679"/>
      <c r="L24" s="679"/>
      <c r="M24" s="679"/>
      <c r="N24" s="679"/>
      <c r="O24" s="679"/>
      <c r="P24" s="679"/>
      <c r="Q24" s="679"/>
      <c r="R24" s="679"/>
      <c r="S24" s="679"/>
      <c r="T24" s="679"/>
      <c r="U24" s="679"/>
      <c r="V24" s="679"/>
      <c r="W24" s="679"/>
      <c r="X24" s="679"/>
      <c r="Y24" s="679"/>
      <c r="Z24" s="679"/>
      <c r="AA24" s="679"/>
      <c r="AB24" s="679"/>
      <c r="AC24" s="679"/>
      <c r="AD24" s="679"/>
      <c r="AE24" s="679"/>
      <c r="AF24" s="679"/>
      <c r="AG24" s="679"/>
      <c r="AH24" s="679"/>
      <c r="AI24" s="679"/>
      <c r="AJ24" s="679"/>
      <c r="AK24" s="679"/>
      <c r="AL24" s="679"/>
      <c r="AM24" s="679"/>
      <c r="AN24" s="679"/>
      <c r="AO24" s="679"/>
    </row>
    <row r="25" spans="1:41" ht="27.75" hidden="1" customHeight="1">
      <c r="A25" s="680" t="s">
        <v>1673</v>
      </c>
      <c r="B25" s="364" t="s">
        <v>1680</v>
      </c>
      <c r="C25" s="364"/>
      <c r="D25" s="364"/>
      <c r="E25" s="372"/>
      <c r="F25" s="372"/>
      <c r="G25" s="372"/>
      <c r="H25" s="372"/>
      <c r="I25" s="681"/>
      <c r="J25" s="681"/>
      <c r="K25" s="681"/>
      <c r="L25" s="681"/>
      <c r="M25" s="681"/>
      <c r="N25" s="681"/>
      <c r="O25" s="681"/>
      <c r="P25" s="681"/>
      <c r="Q25" s="681"/>
      <c r="R25" s="681"/>
      <c r="S25" s="681"/>
      <c r="T25" s="681"/>
      <c r="U25" s="681"/>
      <c r="V25" s="681"/>
      <c r="W25" s="681"/>
      <c r="X25" s="681"/>
      <c r="Y25" s="681"/>
      <c r="Z25" s="681"/>
      <c r="AA25" s="681"/>
      <c r="AB25" s="681"/>
      <c r="AC25" s="681"/>
      <c r="AD25" s="681"/>
      <c r="AE25" s="681"/>
      <c r="AF25" s="681"/>
      <c r="AG25" s="681"/>
      <c r="AH25" s="681"/>
      <c r="AI25" s="681"/>
      <c r="AJ25" s="681"/>
      <c r="AK25" s="681"/>
      <c r="AL25" s="681"/>
      <c r="AM25" s="681"/>
      <c r="AN25" s="681"/>
      <c r="AO25" s="681"/>
    </row>
    <row r="26" spans="1:41" ht="27.75" hidden="1" customHeight="1">
      <c r="A26" s="680" t="s">
        <v>1682</v>
      </c>
      <c r="B26" s="682" t="s">
        <v>1683</v>
      </c>
      <c r="C26" s="682"/>
      <c r="D26" s="682"/>
      <c r="E26" s="372"/>
      <c r="F26" s="372"/>
      <c r="G26" s="372"/>
      <c r="H26" s="372"/>
      <c r="I26" s="681"/>
      <c r="J26" s="681"/>
      <c r="K26" s="681"/>
      <c r="L26" s="681"/>
      <c r="M26" s="681"/>
      <c r="N26" s="681"/>
      <c r="O26" s="681"/>
      <c r="P26" s="681"/>
      <c r="Q26" s="681"/>
      <c r="R26" s="681"/>
      <c r="S26" s="681"/>
      <c r="T26" s="681"/>
      <c r="U26" s="681"/>
      <c r="V26" s="681"/>
      <c r="W26" s="681"/>
      <c r="X26" s="681"/>
      <c r="Y26" s="681"/>
      <c r="Z26" s="681"/>
      <c r="AA26" s="681"/>
      <c r="AB26" s="681"/>
      <c r="AC26" s="681"/>
      <c r="AD26" s="681"/>
      <c r="AE26" s="681"/>
      <c r="AF26" s="681"/>
      <c r="AG26" s="681"/>
      <c r="AH26" s="681"/>
      <c r="AI26" s="681"/>
      <c r="AJ26" s="681"/>
      <c r="AK26" s="681"/>
      <c r="AL26" s="681"/>
      <c r="AM26" s="681"/>
      <c r="AN26" s="681"/>
      <c r="AO26" s="681"/>
    </row>
    <row r="27" spans="1:41" s="353" customFormat="1" ht="30" hidden="1" customHeight="1">
      <c r="A27" s="676" t="s">
        <v>441</v>
      </c>
      <c r="B27" s="677" t="s">
        <v>1681</v>
      </c>
      <c r="C27" s="677"/>
      <c r="D27" s="677"/>
      <c r="E27" s="678"/>
      <c r="F27" s="678"/>
      <c r="G27" s="678"/>
      <c r="H27" s="678"/>
      <c r="I27" s="679"/>
      <c r="J27" s="679"/>
      <c r="K27" s="679"/>
      <c r="L27" s="679"/>
      <c r="M27" s="679"/>
      <c r="N27" s="679"/>
      <c r="O27" s="679"/>
      <c r="P27" s="679"/>
      <c r="Q27" s="679"/>
      <c r="R27" s="679"/>
      <c r="S27" s="679"/>
      <c r="T27" s="679"/>
      <c r="U27" s="679"/>
      <c r="V27" s="679"/>
      <c r="W27" s="679"/>
      <c r="X27" s="679"/>
      <c r="Y27" s="679"/>
      <c r="Z27" s="679"/>
      <c r="AA27" s="679"/>
      <c r="AB27" s="679"/>
      <c r="AC27" s="679"/>
      <c r="AD27" s="679"/>
      <c r="AE27" s="679"/>
      <c r="AF27" s="679"/>
      <c r="AG27" s="679"/>
      <c r="AH27" s="679"/>
      <c r="AI27" s="679"/>
      <c r="AJ27" s="679"/>
      <c r="AK27" s="679"/>
      <c r="AL27" s="679"/>
      <c r="AM27" s="679"/>
      <c r="AN27" s="679"/>
      <c r="AO27" s="679"/>
    </row>
    <row r="28" spans="1:41" ht="30" hidden="1" customHeight="1">
      <c r="A28" s="680" t="s">
        <v>1673</v>
      </c>
      <c r="B28" s="364" t="s">
        <v>1680</v>
      </c>
      <c r="C28" s="364"/>
      <c r="D28" s="364"/>
      <c r="E28" s="372"/>
      <c r="F28" s="372"/>
      <c r="G28" s="372"/>
      <c r="H28" s="372"/>
      <c r="I28" s="681"/>
      <c r="J28" s="681"/>
      <c r="K28" s="681"/>
      <c r="L28" s="681"/>
      <c r="M28" s="681"/>
      <c r="N28" s="681"/>
      <c r="O28" s="681"/>
      <c r="P28" s="681"/>
      <c r="Q28" s="681"/>
      <c r="R28" s="681"/>
      <c r="S28" s="681"/>
      <c r="T28" s="681"/>
      <c r="U28" s="681"/>
      <c r="V28" s="681"/>
      <c r="W28" s="681"/>
      <c r="X28" s="681"/>
      <c r="Y28" s="681"/>
      <c r="Z28" s="681"/>
      <c r="AA28" s="681"/>
      <c r="AB28" s="681"/>
      <c r="AC28" s="681"/>
      <c r="AD28" s="681"/>
      <c r="AE28" s="681"/>
      <c r="AF28" s="681"/>
      <c r="AG28" s="681"/>
      <c r="AH28" s="681"/>
      <c r="AI28" s="681"/>
      <c r="AJ28" s="681"/>
      <c r="AK28" s="681"/>
      <c r="AL28" s="681"/>
      <c r="AM28" s="681"/>
      <c r="AN28" s="681"/>
      <c r="AO28" s="681"/>
    </row>
    <row r="29" spans="1:41" ht="30" hidden="1" customHeight="1">
      <c r="A29" s="680" t="s">
        <v>1682</v>
      </c>
      <c r="B29" s="682" t="s">
        <v>1683</v>
      </c>
      <c r="C29" s="682"/>
      <c r="D29" s="682"/>
      <c r="E29" s="372"/>
      <c r="F29" s="372"/>
      <c r="G29" s="372"/>
      <c r="H29" s="372"/>
      <c r="I29" s="681"/>
      <c r="J29" s="681"/>
      <c r="K29" s="681"/>
      <c r="L29" s="681"/>
      <c r="M29" s="681"/>
      <c r="N29" s="681"/>
      <c r="O29" s="681"/>
      <c r="P29" s="681"/>
      <c r="Q29" s="681"/>
      <c r="R29" s="681"/>
      <c r="S29" s="681"/>
      <c r="T29" s="681"/>
      <c r="U29" s="681"/>
      <c r="V29" s="681"/>
      <c r="W29" s="681"/>
      <c r="X29" s="681"/>
      <c r="Y29" s="681"/>
      <c r="Z29" s="681"/>
      <c r="AA29" s="681"/>
      <c r="AB29" s="681"/>
      <c r="AC29" s="681"/>
      <c r="AD29" s="681"/>
      <c r="AE29" s="681"/>
      <c r="AF29" s="681"/>
      <c r="AG29" s="681"/>
      <c r="AH29" s="681"/>
      <c r="AI29" s="681"/>
      <c r="AJ29" s="681"/>
      <c r="AK29" s="681"/>
      <c r="AL29" s="681"/>
      <c r="AM29" s="681"/>
      <c r="AN29" s="681"/>
      <c r="AO29" s="681"/>
    </row>
    <row r="30" spans="1:41" s="353" customFormat="1" ht="30" hidden="1" customHeight="1">
      <c r="A30" s="676" t="s">
        <v>498</v>
      </c>
      <c r="B30" s="677" t="s">
        <v>1677</v>
      </c>
      <c r="C30" s="677"/>
      <c r="D30" s="677"/>
      <c r="E30" s="678"/>
      <c r="F30" s="678"/>
      <c r="G30" s="678"/>
      <c r="H30" s="678"/>
      <c r="I30" s="679"/>
      <c r="J30" s="679"/>
      <c r="K30" s="679"/>
      <c r="L30" s="679"/>
      <c r="M30" s="679"/>
      <c r="N30" s="679"/>
      <c r="O30" s="679"/>
      <c r="P30" s="679"/>
      <c r="Q30" s="679"/>
      <c r="R30" s="679"/>
      <c r="S30" s="679"/>
      <c r="T30" s="679"/>
      <c r="U30" s="679"/>
      <c r="V30" s="679"/>
      <c r="W30" s="679"/>
      <c r="X30" s="679"/>
      <c r="Y30" s="679"/>
      <c r="Z30" s="679"/>
      <c r="AA30" s="679"/>
      <c r="AB30" s="679"/>
      <c r="AC30" s="679"/>
      <c r="AD30" s="679"/>
      <c r="AE30" s="679"/>
      <c r="AF30" s="679"/>
      <c r="AG30" s="679"/>
      <c r="AH30" s="679"/>
      <c r="AI30" s="679"/>
      <c r="AJ30" s="679"/>
      <c r="AK30" s="679"/>
      <c r="AL30" s="679"/>
      <c r="AM30" s="679"/>
      <c r="AN30" s="679"/>
      <c r="AO30" s="679"/>
    </row>
    <row r="31" spans="1:41" ht="30" hidden="1" customHeight="1">
      <c r="A31" s="680" t="s">
        <v>1673</v>
      </c>
      <c r="B31" s="364" t="s">
        <v>1680</v>
      </c>
      <c r="C31" s="364"/>
      <c r="D31" s="364"/>
      <c r="E31" s="372"/>
      <c r="F31" s="372"/>
      <c r="G31" s="372"/>
      <c r="H31" s="372"/>
      <c r="I31" s="681"/>
      <c r="J31" s="681"/>
      <c r="K31" s="681"/>
      <c r="L31" s="681"/>
      <c r="M31" s="681"/>
      <c r="N31" s="681"/>
      <c r="O31" s="681"/>
      <c r="P31" s="681"/>
      <c r="Q31" s="681"/>
      <c r="R31" s="681"/>
      <c r="S31" s="681"/>
      <c r="T31" s="681"/>
      <c r="U31" s="681"/>
      <c r="V31" s="681"/>
      <c r="W31" s="681"/>
      <c r="X31" s="681"/>
      <c r="Y31" s="681"/>
      <c r="Z31" s="681"/>
      <c r="AA31" s="681"/>
      <c r="AB31" s="681"/>
      <c r="AC31" s="681"/>
      <c r="AD31" s="681"/>
      <c r="AE31" s="681"/>
      <c r="AF31" s="681"/>
      <c r="AG31" s="681"/>
      <c r="AH31" s="681"/>
      <c r="AI31" s="681"/>
      <c r="AJ31" s="681"/>
      <c r="AK31" s="681"/>
      <c r="AL31" s="681"/>
      <c r="AM31" s="681"/>
      <c r="AN31" s="681"/>
      <c r="AO31" s="681"/>
    </row>
    <row r="32" spans="1:41" ht="30" hidden="1" customHeight="1">
      <c r="A32" s="680" t="s">
        <v>1682</v>
      </c>
      <c r="B32" s="682" t="s">
        <v>1683</v>
      </c>
      <c r="C32" s="682"/>
      <c r="D32" s="682"/>
      <c r="E32" s="372"/>
      <c r="F32" s="372"/>
      <c r="G32" s="372"/>
      <c r="H32" s="372"/>
      <c r="I32" s="681"/>
      <c r="J32" s="681"/>
      <c r="K32" s="681"/>
      <c r="L32" s="681"/>
      <c r="M32" s="681"/>
      <c r="N32" s="681"/>
      <c r="O32" s="681"/>
      <c r="P32" s="681"/>
      <c r="Q32" s="681"/>
      <c r="R32" s="681"/>
      <c r="S32" s="681"/>
      <c r="T32" s="681"/>
      <c r="U32" s="681"/>
      <c r="V32" s="681"/>
      <c r="W32" s="681"/>
      <c r="X32" s="681"/>
      <c r="Y32" s="681"/>
      <c r="Z32" s="681"/>
      <c r="AA32" s="681"/>
      <c r="AB32" s="681"/>
      <c r="AC32" s="681"/>
      <c r="AD32" s="681"/>
      <c r="AE32" s="681"/>
      <c r="AF32" s="681"/>
      <c r="AG32" s="681"/>
      <c r="AH32" s="681"/>
      <c r="AI32" s="681"/>
      <c r="AJ32" s="681"/>
      <c r="AK32" s="681"/>
      <c r="AL32" s="681"/>
      <c r="AM32" s="681"/>
      <c r="AN32" s="681"/>
      <c r="AO32" s="681"/>
    </row>
    <row r="33" spans="1:42" s="353" customFormat="1" ht="30" hidden="1" customHeight="1">
      <c r="A33" s="676" t="s">
        <v>509</v>
      </c>
      <c r="B33" s="677" t="s">
        <v>1676</v>
      </c>
      <c r="C33" s="677"/>
      <c r="D33" s="677"/>
      <c r="E33" s="678"/>
      <c r="F33" s="678"/>
      <c r="G33" s="678"/>
      <c r="H33" s="678"/>
      <c r="I33" s="679"/>
      <c r="J33" s="679"/>
      <c r="K33" s="679"/>
      <c r="L33" s="679"/>
      <c r="M33" s="679"/>
      <c r="N33" s="679"/>
      <c r="O33" s="679"/>
      <c r="P33" s="679"/>
      <c r="Q33" s="679"/>
      <c r="R33" s="679"/>
      <c r="S33" s="679"/>
      <c r="T33" s="679"/>
      <c r="U33" s="679"/>
      <c r="V33" s="679"/>
      <c r="W33" s="679"/>
      <c r="X33" s="679"/>
      <c r="Y33" s="679"/>
      <c r="Z33" s="679"/>
      <c r="AA33" s="679"/>
      <c r="AB33" s="679"/>
      <c r="AC33" s="679"/>
      <c r="AD33" s="679"/>
      <c r="AE33" s="679"/>
      <c r="AF33" s="679"/>
      <c r="AG33" s="679"/>
      <c r="AH33" s="679"/>
      <c r="AI33" s="679"/>
      <c r="AJ33" s="679"/>
      <c r="AK33" s="679"/>
      <c r="AL33" s="679"/>
      <c r="AM33" s="679"/>
      <c r="AN33" s="679"/>
      <c r="AO33" s="679"/>
    </row>
    <row r="34" spans="1:42" ht="30" hidden="1" customHeight="1">
      <c r="A34" s="680" t="s">
        <v>1673</v>
      </c>
      <c r="B34" s="364" t="s">
        <v>1680</v>
      </c>
      <c r="C34" s="364"/>
      <c r="D34" s="364"/>
      <c r="E34" s="372"/>
      <c r="F34" s="372"/>
      <c r="G34" s="372"/>
      <c r="H34" s="372"/>
      <c r="I34" s="681"/>
      <c r="J34" s="681"/>
      <c r="K34" s="681"/>
      <c r="L34" s="681"/>
      <c r="M34" s="681"/>
      <c r="N34" s="681"/>
      <c r="O34" s="681"/>
      <c r="P34" s="681"/>
      <c r="Q34" s="681"/>
      <c r="R34" s="681"/>
      <c r="S34" s="681"/>
      <c r="T34" s="681"/>
      <c r="U34" s="681"/>
      <c r="V34" s="681"/>
      <c r="W34" s="681"/>
      <c r="X34" s="681"/>
      <c r="Y34" s="681"/>
      <c r="Z34" s="681"/>
      <c r="AA34" s="681"/>
      <c r="AB34" s="681"/>
      <c r="AC34" s="681"/>
      <c r="AD34" s="681"/>
      <c r="AE34" s="681"/>
      <c r="AF34" s="681"/>
      <c r="AG34" s="681"/>
      <c r="AH34" s="681"/>
      <c r="AI34" s="681"/>
      <c r="AJ34" s="681"/>
      <c r="AK34" s="681"/>
      <c r="AL34" s="681"/>
      <c r="AM34" s="681"/>
      <c r="AN34" s="681"/>
      <c r="AO34" s="681"/>
    </row>
    <row r="35" spans="1:42" ht="30" hidden="1" customHeight="1">
      <c r="A35" s="680" t="s">
        <v>1682</v>
      </c>
      <c r="B35" s="682" t="s">
        <v>1683</v>
      </c>
      <c r="C35" s="682"/>
      <c r="D35" s="682"/>
      <c r="E35" s="372"/>
      <c r="F35" s="372"/>
      <c r="G35" s="372"/>
      <c r="H35" s="372"/>
      <c r="I35" s="681"/>
      <c r="J35" s="681"/>
      <c r="K35" s="681"/>
      <c r="L35" s="681"/>
      <c r="M35" s="681"/>
      <c r="N35" s="681"/>
      <c r="O35" s="681"/>
      <c r="P35" s="681"/>
      <c r="Q35" s="681"/>
      <c r="R35" s="681"/>
      <c r="S35" s="681"/>
      <c r="T35" s="681"/>
      <c r="U35" s="681"/>
      <c r="V35" s="681"/>
      <c r="W35" s="681"/>
      <c r="X35" s="681"/>
      <c r="Y35" s="681"/>
      <c r="Z35" s="681"/>
      <c r="AA35" s="681"/>
      <c r="AB35" s="681"/>
      <c r="AC35" s="681"/>
      <c r="AD35" s="681"/>
      <c r="AE35" s="681"/>
      <c r="AF35" s="681"/>
      <c r="AG35" s="681"/>
      <c r="AH35" s="681"/>
      <c r="AI35" s="681"/>
      <c r="AJ35" s="681"/>
      <c r="AK35" s="681"/>
      <c r="AL35" s="681"/>
      <c r="AM35" s="681"/>
      <c r="AN35" s="681"/>
      <c r="AO35" s="681"/>
    </row>
    <row r="36" spans="1:42" s="353" customFormat="1" ht="30" customHeight="1">
      <c r="A36" s="676" t="s">
        <v>1716</v>
      </c>
      <c r="B36" s="677" t="s">
        <v>1704</v>
      </c>
      <c r="C36" s="677"/>
      <c r="D36" s="677"/>
      <c r="E36" s="678"/>
      <c r="F36" s="678"/>
      <c r="G36" s="678"/>
      <c r="H36" s="678"/>
      <c r="I36" s="679">
        <f>I37</f>
        <v>421651</v>
      </c>
      <c r="J36" s="679">
        <f t="shared" ref="J36:AN36" si="3">J37</f>
        <v>84849</v>
      </c>
      <c r="K36" s="679">
        <f t="shared" si="3"/>
        <v>0</v>
      </c>
      <c r="L36" s="679">
        <f t="shared" si="3"/>
        <v>0</v>
      </c>
      <c r="M36" s="679">
        <f t="shared" si="3"/>
        <v>336802</v>
      </c>
      <c r="N36" s="679">
        <f t="shared" si="3"/>
        <v>265133</v>
      </c>
      <c r="O36" s="679">
        <f t="shared" si="3"/>
        <v>71669</v>
      </c>
      <c r="P36" s="679">
        <f t="shared" si="3"/>
        <v>22629</v>
      </c>
      <c r="Q36" s="679">
        <f t="shared" si="3"/>
        <v>7319</v>
      </c>
      <c r="R36" s="679">
        <f t="shared" si="3"/>
        <v>15310</v>
      </c>
      <c r="S36" s="679">
        <f t="shared" si="3"/>
        <v>693</v>
      </c>
      <c r="T36" s="679">
        <f t="shared" si="3"/>
        <v>718</v>
      </c>
      <c r="U36" s="679">
        <f t="shared" si="3"/>
        <v>2741</v>
      </c>
      <c r="V36" s="679">
        <f t="shared" si="3"/>
        <v>1300</v>
      </c>
      <c r="W36" s="679">
        <f t="shared" si="3"/>
        <v>1350</v>
      </c>
      <c r="X36" s="679">
        <f t="shared" si="3"/>
        <v>3141</v>
      </c>
      <c r="Y36" s="679">
        <f t="shared" si="3"/>
        <v>4819</v>
      </c>
      <c r="Z36" s="679">
        <f t="shared" si="3"/>
        <v>4919</v>
      </c>
      <c r="AA36" s="679">
        <f t="shared" si="3"/>
        <v>6310</v>
      </c>
      <c r="AB36" s="679">
        <f t="shared" si="3"/>
        <v>255132</v>
      </c>
      <c r="AC36" s="679">
        <f t="shared" si="3"/>
        <v>0</v>
      </c>
      <c r="AD36" s="679">
        <f t="shared" si="3"/>
        <v>0</v>
      </c>
      <c r="AE36" s="679">
        <f t="shared" si="3"/>
        <v>229313</v>
      </c>
      <c r="AF36" s="679">
        <f t="shared" si="3"/>
        <v>51339</v>
      </c>
      <c r="AG36" s="679">
        <f t="shared" si="3"/>
        <v>0</v>
      </c>
      <c r="AH36" s="679">
        <f t="shared" si="3"/>
        <v>0</v>
      </c>
      <c r="AI36" s="679">
        <f t="shared" si="3"/>
        <v>34065</v>
      </c>
      <c r="AJ36" s="679">
        <f t="shared" si="3"/>
        <v>104350</v>
      </c>
      <c r="AK36" s="679">
        <f t="shared" si="3"/>
        <v>0</v>
      </c>
      <c r="AL36" s="679">
        <f t="shared" si="3"/>
        <v>0</v>
      </c>
      <c r="AM36" s="679">
        <f t="shared" si="3"/>
        <v>17681</v>
      </c>
      <c r="AN36" s="679">
        <f t="shared" si="3"/>
        <v>65168</v>
      </c>
      <c r="AO36" s="679"/>
    </row>
    <row r="37" spans="1:42" s="353" customFormat="1" ht="30" customHeight="1">
      <c r="A37" s="676" t="s">
        <v>498</v>
      </c>
      <c r="B37" s="677" t="s">
        <v>1677</v>
      </c>
      <c r="C37" s="677"/>
      <c r="D37" s="677"/>
      <c r="E37" s="678"/>
      <c r="F37" s="678"/>
      <c r="G37" s="678"/>
      <c r="H37" s="678"/>
      <c r="I37" s="679">
        <f>I38+I39</f>
        <v>421651</v>
      </c>
      <c r="J37" s="679">
        <f>J38+J39</f>
        <v>84849</v>
      </c>
      <c r="K37" s="679"/>
      <c r="L37" s="679"/>
      <c r="M37" s="679">
        <f>M38+M39</f>
        <v>336802</v>
      </c>
      <c r="N37" s="679">
        <f t="shared" ref="N37:AN37" si="4">N38+N39</f>
        <v>265133</v>
      </c>
      <c r="O37" s="679">
        <f t="shared" si="4"/>
        <v>71669</v>
      </c>
      <c r="P37" s="679">
        <f t="shared" si="4"/>
        <v>22629</v>
      </c>
      <c r="Q37" s="679">
        <f t="shared" si="4"/>
        <v>7319</v>
      </c>
      <c r="R37" s="679">
        <f t="shared" si="4"/>
        <v>15310</v>
      </c>
      <c r="S37" s="679">
        <f t="shared" si="4"/>
        <v>693</v>
      </c>
      <c r="T37" s="679">
        <f t="shared" si="4"/>
        <v>718</v>
      </c>
      <c r="U37" s="679">
        <f t="shared" si="4"/>
        <v>2741</v>
      </c>
      <c r="V37" s="679">
        <f t="shared" si="4"/>
        <v>1300</v>
      </c>
      <c r="W37" s="679">
        <f t="shared" si="4"/>
        <v>1350</v>
      </c>
      <c r="X37" s="679">
        <f t="shared" si="4"/>
        <v>3141</v>
      </c>
      <c r="Y37" s="679">
        <f t="shared" si="4"/>
        <v>4819</v>
      </c>
      <c r="Z37" s="679">
        <f t="shared" si="4"/>
        <v>4919</v>
      </c>
      <c r="AA37" s="679">
        <f t="shared" si="4"/>
        <v>6310</v>
      </c>
      <c r="AB37" s="679">
        <f t="shared" si="4"/>
        <v>255132</v>
      </c>
      <c r="AC37" s="679">
        <f t="shared" si="4"/>
        <v>0</v>
      </c>
      <c r="AD37" s="679">
        <f t="shared" si="4"/>
        <v>0</v>
      </c>
      <c r="AE37" s="679">
        <f t="shared" si="4"/>
        <v>229313</v>
      </c>
      <c r="AF37" s="679">
        <f t="shared" si="4"/>
        <v>51339</v>
      </c>
      <c r="AG37" s="679">
        <f t="shared" si="4"/>
        <v>0</v>
      </c>
      <c r="AH37" s="679">
        <f t="shared" si="4"/>
        <v>0</v>
      </c>
      <c r="AI37" s="679">
        <f t="shared" si="4"/>
        <v>34065</v>
      </c>
      <c r="AJ37" s="679">
        <f t="shared" si="4"/>
        <v>104350</v>
      </c>
      <c r="AK37" s="679">
        <f t="shared" si="4"/>
        <v>0</v>
      </c>
      <c r="AL37" s="679">
        <f t="shared" si="4"/>
        <v>0</v>
      </c>
      <c r="AM37" s="679">
        <f t="shared" si="4"/>
        <v>17681</v>
      </c>
      <c r="AN37" s="679">
        <f t="shared" si="4"/>
        <v>65168</v>
      </c>
      <c r="AO37" s="679"/>
    </row>
    <row r="38" spans="1:42" s="370" customFormat="1" ht="54">
      <c r="A38" s="683">
        <v>1</v>
      </c>
      <c r="B38" s="684" t="s">
        <v>1705</v>
      </c>
      <c r="C38" s="372">
        <v>37987</v>
      </c>
      <c r="D38" s="372" t="s">
        <v>47</v>
      </c>
      <c r="E38" s="683" t="s">
        <v>1706</v>
      </c>
      <c r="F38" s="372">
        <v>2022</v>
      </c>
      <c r="G38" s="372">
        <v>2026</v>
      </c>
      <c r="H38" s="685" t="s">
        <v>1707</v>
      </c>
      <c r="I38" s="681">
        <v>100579</v>
      </c>
      <c r="J38" s="681">
        <v>9587</v>
      </c>
      <c r="K38" s="681"/>
      <c r="L38" s="686" t="s">
        <v>399</v>
      </c>
      <c r="M38" s="681">
        <v>90992</v>
      </c>
      <c r="N38" s="681">
        <v>90992</v>
      </c>
      <c r="O38" s="681"/>
      <c r="P38" s="681">
        <f>Q38+R38</f>
        <v>17810</v>
      </c>
      <c r="Q38" s="681">
        <v>2500</v>
      </c>
      <c r="R38" s="681">
        <v>15310</v>
      </c>
      <c r="S38" s="681"/>
      <c r="T38" s="681">
        <v>25</v>
      </c>
      <c r="U38" s="681">
        <v>2741</v>
      </c>
      <c r="V38" s="681"/>
      <c r="W38" s="681">
        <v>50</v>
      </c>
      <c r="X38" s="681">
        <f>2741+400</f>
        <v>3141</v>
      </c>
      <c r="Y38" s="681"/>
      <c r="Z38" s="681">
        <v>100</v>
      </c>
      <c r="AA38" s="681">
        <v>6310</v>
      </c>
      <c r="AB38" s="681">
        <v>99000</v>
      </c>
      <c r="AC38" s="681"/>
      <c r="AD38" s="681"/>
      <c r="AE38" s="681">
        <v>90000</v>
      </c>
      <c r="AF38" s="681">
        <v>37520</v>
      </c>
      <c r="AG38" s="681"/>
      <c r="AH38" s="681"/>
      <c r="AI38" s="681">
        <f>2220+16535+15310</f>
        <v>34065</v>
      </c>
      <c r="AJ38" s="681">
        <f>1500+15000</f>
        <v>16500</v>
      </c>
      <c r="AK38" s="681"/>
      <c r="AL38" s="681"/>
      <c r="AM38" s="681">
        <v>1500</v>
      </c>
      <c r="AN38" s="687">
        <v>15000</v>
      </c>
      <c r="AO38" s="681"/>
    </row>
    <row r="39" spans="1:42" ht="84" customHeight="1">
      <c r="A39" s="680" t="s">
        <v>1663</v>
      </c>
      <c r="B39" s="364" t="s">
        <v>397</v>
      </c>
      <c r="C39" s="372">
        <v>7948810</v>
      </c>
      <c r="D39" s="372" t="s">
        <v>47</v>
      </c>
      <c r="E39" s="372" t="s">
        <v>1708</v>
      </c>
      <c r="F39" s="372"/>
      <c r="G39" s="372"/>
      <c r="H39" s="372" t="s">
        <v>1772</v>
      </c>
      <c r="I39" s="681">
        <v>321072</v>
      </c>
      <c r="J39" s="681">
        <v>75262</v>
      </c>
      <c r="K39" s="681"/>
      <c r="L39" s="686" t="s">
        <v>1709</v>
      </c>
      <c r="M39" s="681">
        <v>245810</v>
      </c>
      <c r="N39" s="681">
        <v>174141</v>
      </c>
      <c r="O39" s="681">
        <v>71669</v>
      </c>
      <c r="P39" s="681">
        <v>4819</v>
      </c>
      <c r="Q39" s="681">
        <v>4819</v>
      </c>
      <c r="R39" s="681"/>
      <c r="S39" s="681">
        <v>693</v>
      </c>
      <c r="T39" s="681">
        <v>693</v>
      </c>
      <c r="U39" s="681"/>
      <c r="V39" s="681">
        <v>1300</v>
      </c>
      <c r="W39" s="681">
        <v>1300</v>
      </c>
      <c r="X39" s="681"/>
      <c r="Y39" s="681">
        <v>4819</v>
      </c>
      <c r="Z39" s="681">
        <v>4819</v>
      </c>
      <c r="AA39" s="681"/>
      <c r="AB39" s="681">
        <f>16819+139313</f>
        <v>156132</v>
      </c>
      <c r="AC39" s="681"/>
      <c r="AD39" s="681"/>
      <c r="AE39" s="681">
        <v>139313</v>
      </c>
      <c r="AF39" s="681">
        <v>13819</v>
      </c>
      <c r="AG39" s="681"/>
      <c r="AH39" s="681"/>
      <c r="AI39" s="681">
        <v>0</v>
      </c>
      <c r="AJ39" s="681">
        <v>87850</v>
      </c>
      <c r="AK39" s="681"/>
      <c r="AL39" s="681"/>
      <c r="AM39" s="681">
        <v>16181</v>
      </c>
      <c r="AN39" s="687">
        <v>50168</v>
      </c>
      <c r="AO39" s="372" t="s">
        <v>1868</v>
      </c>
      <c r="AP39" s="456" t="s">
        <v>1757</v>
      </c>
    </row>
    <row r="40" spans="1:42" s="353" customFormat="1" ht="48" customHeight="1">
      <c r="A40" s="676" t="s">
        <v>1717</v>
      </c>
      <c r="B40" s="677" t="s">
        <v>1710</v>
      </c>
      <c r="C40" s="677"/>
      <c r="D40" s="677"/>
      <c r="E40" s="678"/>
      <c r="F40" s="678"/>
      <c r="G40" s="678"/>
      <c r="H40" s="678"/>
      <c r="I40" s="679">
        <f>I45</f>
        <v>994490.75199999998</v>
      </c>
      <c r="J40" s="679">
        <f t="shared" ref="J40:AN40" si="5">J45</f>
        <v>190964</v>
      </c>
      <c r="K40" s="679">
        <f t="shared" si="5"/>
        <v>0</v>
      </c>
      <c r="L40" s="679">
        <f t="shared" si="5"/>
        <v>0</v>
      </c>
      <c r="M40" s="679">
        <f t="shared" si="5"/>
        <v>796668.21900000004</v>
      </c>
      <c r="N40" s="679">
        <f t="shared" si="5"/>
        <v>587365.21900000004</v>
      </c>
      <c r="O40" s="679">
        <f t="shared" si="5"/>
        <v>209303</v>
      </c>
      <c r="P40" s="679">
        <f t="shared" si="5"/>
        <v>489</v>
      </c>
      <c r="Q40" s="679">
        <f t="shared" si="5"/>
        <v>489</v>
      </c>
      <c r="R40" s="679">
        <f t="shared" si="5"/>
        <v>0</v>
      </c>
      <c r="S40" s="679">
        <f t="shared" si="5"/>
        <v>0</v>
      </c>
      <c r="T40" s="679">
        <f t="shared" si="5"/>
        <v>0</v>
      </c>
      <c r="U40" s="679">
        <f t="shared" si="5"/>
        <v>0</v>
      </c>
      <c r="V40" s="679">
        <f t="shared" si="5"/>
        <v>0</v>
      </c>
      <c r="W40" s="679">
        <f t="shared" si="5"/>
        <v>0</v>
      </c>
      <c r="X40" s="679">
        <f t="shared" si="5"/>
        <v>0</v>
      </c>
      <c r="Y40" s="679">
        <f t="shared" si="5"/>
        <v>489</v>
      </c>
      <c r="Z40" s="679">
        <f t="shared" si="5"/>
        <v>489</v>
      </c>
      <c r="AA40" s="679">
        <f t="shared" si="5"/>
        <v>0</v>
      </c>
      <c r="AB40" s="679">
        <f t="shared" si="5"/>
        <v>489</v>
      </c>
      <c r="AC40" s="679">
        <f t="shared" si="5"/>
        <v>0</v>
      </c>
      <c r="AD40" s="679">
        <f t="shared" si="5"/>
        <v>0</v>
      </c>
      <c r="AE40" s="679">
        <f t="shared" si="5"/>
        <v>0</v>
      </c>
      <c r="AF40" s="679">
        <f t="shared" si="5"/>
        <v>489</v>
      </c>
      <c r="AG40" s="679">
        <f t="shared" si="5"/>
        <v>0</v>
      </c>
      <c r="AH40" s="679">
        <f t="shared" si="5"/>
        <v>0</v>
      </c>
      <c r="AI40" s="679">
        <f t="shared" si="5"/>
        <v>0</v>
      </c>
      <c r="AJ40" s="679">
        <f t="shared" si="5"/>
        <v>22500</v>
      </c>
      <c r="AK40" s="679">
        <f t="shared" si="5"/>
        <v>0</v>
      </c>
      <c r="AL40" s="679">
        <f t="shared" si="5"/>
        <v>0</v>
      </c>
      <c r="AM40" s="679">
        <f t="shared" si="5"/>
        <v>12500</v>
      </c>
      <c r="AN40" s="679">
        <f t="shared" si="5"/>
        <v>10000</v>
      </c>
      <c r="AO40" s="688"/>
    </row>
    <row r="41" spans="1:42" s="353" customFormat="1" ht="33.75" hidden="1" customHeight="1">
      <c r="A41" s="680" t="s">
        <v>1673</v>
      </c>
      <c r="B41" s="364" t="s">
        <v>1680</v>
      </c>
      <c r="C41" s="364"/>
      <c r="D41" s="364"/>
      <c r="E41" s="678"/>
      <c r="F41" s="678"/>
      <c r="G41" s="678"/>
      <c r="H41" s="678"/>
      <c r="I41" s="688"/>
      <c r="J41" s="688"/>
      <c r="K41" s="688"/>
      <c r="L41" s="688"/>
      <c r="M41" s="688"/>
      <c r="N41" s="688"/>
      <c r="O41" s="688"/>
      <c r="P41" s="688"/>
      <c r="Q41" s="688"/>
      <c r="R41" s="688"/>
      <c r="S41" s="688"/>
      <c r="T41" s="688"/>
      <c r="U41" s="688"/>
      <c r="V41" s="688"/>
      <c r="W41" s="688"/>
      <c r="X41" s="688"/>
      <c r="Y41" s="688"/>
      <c r="Z41" s="688"/>
      <c r="AA41" s="688"/>
      <c r="AB41" s="688"/>
      <c r="AC41" s="688"/>
      <c r="AD41" s="688"/>
      <c r="AE41" s="688"/>
      <c r="AF41" s="688"/>
      <c r="AG41" s="688"/>
      <c r="AH41" s="688"/>
      <c r="AI41" s="688"/>
      <c r="AJ41" s="688"/>
      <c r="AK41" s="688"/>
      <c r="AL41" s="688"/>
      <c r="AM41" s="688"/>
      <c r="AN41" s="688"/>
      <c r="AO41" s="688"/>
    </row>
    <row r="42" spans="1:42" s="353" customFormat="1" ht="34.5" hidden="1" customHeight="1">
      <c r="A42" s="680" t="s">
        <v>1682</v>
      </c>
      <c r="B42" s="682" t="s">
        <v>1683</v>
      </c>
      <c r="C42" s="682"/>
      <c r="D42" s="682"/>
      <c r="E42" s="678"/>
      <c r="F42" s="678"/>
      <c r="G42" s="678"/>
      <c r="H42" s="678"/>
      <c r="I42" s="688"/>
      <c r="J42" s="688"/>
      <c r="K42" s="688"/>
      <c r="L42" s="688"/>
      <c r="M42" s="688"/>
      <c r="N42" s="688"/>
      <c r="O42" s="688"/>
      <c r="P42" s="688"/>
      <c r="Q42" s="688"/>
      <c r="R42" s="688"/>
      <c r="S42" s="688"/>
      <c r="T42" s="688"/>
      <c r="U42" s="688"/>
      <c r="V42" s="688"/>
      <c r="W42" s="688"/>
      <c r="X42" s="688"/>
      <c r="Y42" s="688"/>
      <c r="Z42" s="688"/>
      <c r="AA42" s="688"/>
      <c r="AB42" s="688"/>
      <c r="AC42" s="688"/>
      <c r="AD42" s="688"/>
      <c r="AE42" s="688"/>
      <c r="AF42" s="688"/>
      <c r="AG42" s="688"/>
      <c r="AH42" s="688"/>
      <c r="AI42" s="688"/>
      <c r="AJ42" s="688"/>
      <c r="AK42" s="688"/>
      <c r="AL42" s="688"/>
      <c r="AM42" s="688"/>
      <c r="AN42" s="688"/>
      <c r="AO42" s="688"/>
    </row>
    <row r="43" spans="1:42" s="353" customFormat="1" ht="36" hidden="1" customHeight="1">
      <c r="A43" s="680" t="s">
        <v>1673</v>
      </c>
      <c r="B43" s="364" t="s">
        <v>1680</v>
      </c>
      <c r="C43" s="364"/>
      <c r="D43" s="364"/>
      <c r="E43" s="678"/>
      <c r="F43" s="678"/>
      <c r="G43" s="678"/>
      <c r="H43" s="678"/>
      <c r="I43" s="688"/>
      <c r="J43" s="688"/>
      <c r="K43" s="688"/>
      <c r="L43" s="688"/>
      <c r="M43" s="688"/>
      <c r="N43" s="688"/>
      <c r="O43" s="688"/>
      <c r="P43" s="688"/>
      <c r="Q43" s="688"/>
      <c r="R43" s="688"/>
      <c r="S43" s="688"/>
      <c r="T43" s="688"/>
      <c r="U43" s="688"/>
      <c r="V43" s="688"/>
      <c r="W43" s="688"/>
      <c r="X43" s="688"/>
      <c r="Y43" s="688"/>
      <c r="Z43" s="688"/>
      <c r="AA43" s="688"/>
      <c r="AB43" s="688"/>
      <c r="AC43" s="688"/>
      <c r="AD43" s="688"/>
      <c r="AE43" s="688"/>
      <c r="AF43" s="688"/>
      <c r="AG43" s="688"/>
      <c r="AH43" s="688"/>
      <c r="AI43" s="688"/>
      <c r="AJ43" s="688"/>
      <c r="AK43" s="688"/>
      <c r="AL43" s="688"/>
      <c r="AM43" s="688"/>
      <c r="AN43" s="688"/>
      <c r="AO43" s="688"/>
    </row>
    <row r="44" spans="1:42" s="353" customFormat="1" ht="29.25" hidden="1" customHeight="1">
      <c r="A44" s="680" t="s">
        <v>1682</v>
      </c>
      <c r="B44" s="682" t="s">
        <v>1683</v>
      </c>
      <c r="C44" s="682"/>
      <c r="D44" s="682"/>
      <c r="E44" s="678"/>
      <c r="F44" s="678"/>
      <c r="G44" s="678"/>
      <c r="H44" s="678"/>
      <c r="I44" s="688"/>
      <c r="J44" s="688"/>
      <c r="K44" s="688"/>
      <c r="L44" s="688"/>
      <c r="M44" s="688"/>
      <c r="N44" s="688"/>
      <c r="O44" s="688"/>
      <c r="P44" s="688"/>
      <c r="Q44" s="688"/>
      <c r="R44" s="688"/>
      <c r="S44" s="688"/>
      <c r="T44" s="688"/>
      <c r="U44" s="688"/>
      <c r="V44" s="688"/>
      <c r="W44" s="688"/>
      <c r="X44" s="688"/>
      <c r="Y44" s="688"/>
      <c r="Z44" s="688"/>
      <c r="AA44" s="688"/>
      <c r="AB44" s="688"/>
      <c r="AC44" s="688"/>
      <c r="AD44" s="688"/>
      <c r="AE44" s="688"/>
      <c r="AF44" s="688"/>
      <c r="AG44" s="688"/>
      <c r="AH44" s="688"/>
      <c r="AI44" s="688"/>
      <c r="AJ44" s="688"/>
      <c r="AK44" s="688"/>
      <c r="AL44" s="688"/>
      <c r="AM44" s="688"/>
      <c r="AN44" s="688"/>
      <c r="AO44" s="688"/>
    </row>
    <row r="45" spans="1:42" s="353" customFormat="1" ht="30" customHeight="1">
      <c r="A45" s="676" t="s">
        <v>509</v>
      </c>
      <c r="B45" s="677" t="s">
        <v>1676</v>
      </c>
      <c r="C45" s="677"/>
      <c r="D45" s="677"/>
      <c r="E45" s="678"/>
      <c r="F45" s="678"/>
      <c r="G45" s="678"/>
      <c r="H45" s="678"/>
      <c r="I45" s="679">
        <f>I46+I52+I53</f>
        <v>994490.75199999998</v>
      </c>
      <c r="J45" s="679">
        <f>J46+J52+J53</f>
        <v>190964</v>
      </c>
      <c r="K45" s="679">
        <f>K46+K52+K53</f>
        <v>0</v>
      </c>
      <c r="L45" s="679"/>
      <c r="M45" s="679">
        <f t="shared" ref="M45:AI45" si="6">M46+M52+M53</f>
        <v>796668.21900000004</v>
      </c>
      <c r="N45" s="679">
        <f t="shared" si="6"/>
        <v>587365.21900000004</v>
      </c>
      <c r="O45" s="679">
        <f t="shared" si="6"/>
        <v>209303</v>
      </c>
      <c r="P45" s="679">
        <f t="shared" si="6"/>
        <v>489</v>
      </c>
      <c r="Q45" s="679">
        <f t="shared" si="6"/>
        <v>489</v>
      </c>
      <c r="R45" s="679">
        <f t="shared" si="6"/>
        <v>0</v>
      </c>
      <c r="S45" s="679">
        <f t="shared" si="6"/>
        <v>0</v>
      </c>
      <c r="T45" s="679">
        <f t="shared" si="6"/>
        <v>0</v>
      </c>
      <c r="U45" s="679">
        <f t="shared" si="6"/>
        <v>0</v>
      </c>
      <c r="V45" s="679">
        <f t="shared" si="6"/>
        <v>0</v>
      </c>
      <c r="W45" s="679">
        <f t="shared" si="6"/>
        <v>0</v>
      </c>
      <c r="X45" s="679">
        <f t="shared" si="6"/>
        <v>0</v>
      </c>
      <c r="Y45" s="679">
        <f t="shared" si="6"/>
        <v>489</v>
      </c>
      <c r="Z45" s="679">
        <f t="shared" si="6"/>
        <v>489</v>
      </c>
      <c r="AA45" s="679">
        <f t="shared" si="6"/>
        <v>0</v>
      </c>
      <c r="AB45" s="679">
        <f t="shared" si="6"/>
        <v>489</v>
      </c>
      <c r="AC45" s="679">
        <f t="shared" si="6"/>
        <v>0</v>
      </c>
      <c r="AD45" s="679">
        <f t="shared" si="6"/>
        <v>0</v>
      </c>
      <c r="AE45" s="679">
        <f t="shared" si="6"/>
        <v>0</v>
      </c>
      <c r="AF45" s="679">
        <f t="shared" si="6"/>
        <v>489</v>
      </c>
      <c r="AG45" s="679">
        <f t="shared" si="6"/>
        <v>0</v>
      </c>
      <c r="AH45" s="679">
        <f t="shared" si="6"/>
        <v>0</v>
      </c>
      <c r="AI45" s="679">
        <f t="shared" si="6"/>
        <v>0</v>
      </c>
      <c r="AJ45" s="679">
        <f>AJ46+AJ52+AJ53</f>
        <v>22500</v>
      </c>
      <c r="AK45" s="679">
        <f>AK46+AK52+AK53</f>
        <v>0</v>
      </c>
      <c r="AL45" s="679">
        <f>AL46+AL52+AL53</f>
        <v>0</v>
      </c>
      <c r="AM45" s="679">
        <f>AM46+AM52+AM53</f>
        <v>12500</v>
      </c>
      <c r="AN45" s="679">
        <f>AN46+AN52+AN53</f>
        <v>10000</v>
      </c>
      <c r="AO45" s="679"/>
    </row>
    <row r="46" spans="1:42" ht="114" customHeight="1">
      <c r="A46" s="683">
        <v>1</v>
      </c>
      <c r="B46" s="689" t="s">
        <v>1711</v>
      </c>
      <c r="C46" s="671"/>
      <c r="D46" s="372" t="s">
        <v>84</v>
      </c>
      <c r="E46" s="372" t="s">
        <v>1769</v>
      </c>
      <c r="F46" s="669"/>
      <c r="G46" s="669"/>
      <c r="H46" s="685"/>
      <c r="I46" s="681">
        <f>49690752000/1000000</f>
        <v>49690.752</v>
      </c>
      <c r="J46" s="681"/>
      <c r="K46" s="681"/>
      <c r="L46" s="686" t="s">
        <v>400</v>
      </c>
      <c r="M46" s="681">
        <f>N46+O46</f>
        <v>42832.218999999997</v>
      </c>
      <c r="N46" s="681">
        <f>42832219000/1000000</f>
        <v>42832.218999999997</v>
      </c>
      <c r="O46" s="681"/>
      <c r="P46" s="681"/>
      <c r="Q46" s="681"/>
      <c r="R46" s="681"/>
      <c r="S46" s="681"/>
      <c r="T46" s="681"/>
      <c r="U46" s="681"/>
      <c r="V46" s="681"/>
      <c r="W46" s="681"/>
      <c r="X46" s="681"/>
      <c r="Y46" s="681"/>
      <c r="Z46" s="681"/>
      <c r="AA46" s="681"/>
      <c r="AB46" s="681"/>
      <c r="AC46" s="681"/>
      <c r="AD46" s="681"/>
      <c r="AE46" s="681"/>
      <c r="AF46" s="681"/>
      <c r="AG46" s="681"/>
      <c r="AH46" s="681"/>
      <c r="AI46" s="681"/>
      <c r="AJ46" s="681">
        <f>AN46</f>
        <v>10000</v>
      </c>
      <c r="AK46" s="681"/>
      <c r="AL46" s="681"/>
      <c r="AM46" s="681"/>
      <c r="AN46" s="687">
        <v>10000</v>
      </c>
      <c r="AO46" s="690" t="s">
        <v>1758</v>
      </c>
    </row>
    <row r="47" spans="1:42" ht="55.95" hidden="1" customHeight="1">
      <c r="A47" s="672" t="s">
        <v>124</v>
      </c>
      <c r="B47" s="673" t="s">
        <v>1712</v>
      </c>
      <c r="C47" s="673"/>
      <c r="D47" s="673"/>
      <c r="E47" s="372"/>
      <c r="F47" s="372"/>
      <c r="G47" s="372"/>
      <c r="H47" s="372"/>
      <c r="I47" s="373"/>
      <c r="J47" s="373"/>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373"/>
      <c r="AK47" s="373"/>
      <c r="AL47" s="373"/>
      <c r="AM47" s="373"/>
      <c r="AN47" s="373"/>
      <c r="AO47" s="373"/>
    </row>
    <row r="48" spans="1:42" ht="31.65" hidden="1" customHeight="1">
      <c r="A48" s="680" t="s">
        <v>1682</v>
      </c>
      <c r="B48" s="691" t="s">
        <v>1713</v>
      </c>
      <c r="C48" s="691"/>
      <c r="D48" s="691"/>
      <c r="E48" s="372"/>
      <c r="F48" s="372"/>
      <c r="G48" s="372"/>
      <c r="H48" s="372"/>
      <c r="I48" s="373"/>
      <c r="J48" s="373"/>
      <c r="K48" s="373"/>
      <c r="L48" s="373"/>
      <c r="M48" s="373"/>
      <c r="N48" s="373"/>
      <c r="O48" s="373"/>
      <c r="P48" s="373"/>
      <c r="Q48" s="373"/>
      <c r="R48" s="373"/>
      <c r="S48" s="373"/>
      <c r="T48" s="373"/>
      <c r="U48" s="373"/>
      <c r="V48" s="373"/>
      <c r="W48" s="373"/>
      <c r="X48" s="373"/>
      <c r="Y48" s="373"/>
      <c r="Z48" s="373"/>
      <c r="AA48" s="373"/>
      <c r="AB48" s="373"/>
      <c r="AC48" s="373"/>
      <c r="AD48" s="373"/>
      <c r="AE48" s="373"/>
      <c r="AF48" s="373"/>
      <c r="AG48" s="373"/>
      <c r="AH48" s="373"/>
      <c r="AI48" s="373"/>
      <c r="AJ48" s="373"/>
      <c r="AK48" s="373"/>
      <c r="AL48" s="373"/>
      <c r="AM48" s="373"/>
      <c r="AN48" s="373"/>
      <c r="AO48" s="373"/>
    </row>
    <row r="49" spans="1:43" ht="81.75" hidden="1" customHeight="1">
      <c r="A49" s="672" t="s">
        <v>47</v>
      </c>
      <c r="B49" s="691" t="s">
        <v>1714</v>
      </c>
      <c r="C49" s="671"/>
      <c r="D49" s="671"/>
      <c r="E49" s="372"/>
      <c r="F49" s="372"/>
      <c r="G49" s="372"/>
      <c r="H49" s="372"/>
      <c r="I49" s="373"/>
      <c r="J49" s="373"/>
      <c r="K49" s="373"/>
      <c r="L49" s="373"/>
      <c r="M49" s="373"/>
      <c r="N49" s="373"/>
      <c r="O49" s="373"/>
      <c r="P49" s="373"/>
      <c r="Q49" s="373"/>
      <c r="R49" s="373"/>
      <c r="S49" s="373"/>
      <c r="T49" s="373"/>
      <c r="U49" s="373"/>
      <c r="V49" s="373"/>
      <c r="W49" s="373"/>
      <c r="X49" s="373"/>
      <c r="Y49" s="373"/>
      <c r="Z49" s="373"/>
      <c r="AA49" s="373"/>
      <c r="AB49" s="373"/>
      <c r="AC49" s="373"/>
      <c r="AD49" s="373"/>
      <c r="AE49" s="373"/>
      <c r="AF49" s="373"/>
      <c r="AG49" s="373"/>
      <c r="AH49" s="373"/>
      <c r="AI49" s="373"/>
      <c r="AJ49" s="373"/>
      <c r="AK49" s="373"/>
      <c r="AL49" s="373"/>
      <c r="AM49" s="373"/>
      <c r="AN49" s="373"/>
      <c r="AO49" s="373"/>
    </row>
    <row r="50" spans="1:43" s="354" customFormat="1" ht="34.5" hidden="1" customHeight="1">
      <c r="A50" s="672" t="s">
        <v>1682</v>
      </c>
      <c r="B50" s="691" t="s">
        <v>1715</v>
      </c>
      <c r="C50" s="691"/>
      <c r="D50" s="691"/>
      <c r="E50" s="692"/>
      <c r="F50" s="692"/>
      <c r="G50" s="692"/>
      <c r="H50" s="692"/>
      <c r="I50" s="693"/>
      <c r="J50" s="693"/>
      <c r="K50" s="693"/>
      <c r="L50" s="693"/>
      <c r="M50" s="693"/>
      <c r="N50" s="693"/>
      <c r="O50" s="693"/>
      <c r="P50" s="693"/>
      <c r="Q50" s="693"/>
      <c r="R50" s="693"/>
      <c r="S50" s="693"/>
      <c r="T50" s="693"/>
      <c r="U50" s="693"/>
      <c r="V50" s="693"/>
      <c r="W50" s="693"/>
      <c r="X50" s="693"/>
      <c r="Y50" s="693"/>
      <c r="Z50" s="693"/>
      <c r="AA50" s="693"/>
      <c r="AB50" s="693"/>
      <c r="AC50" s="693"/>
      <c r="AD50" s="693"/>
      <c r="AE50" s="693"/>
      <c r="AF50" s="693"/>
      <c r="AG50" s="693"/>
      <c r="AH50" s="693"/>
      <c r="AI50" s="693"/>
      <c r="AJ50" s="693"/>
      <c r="AK50" s="693"/>
      <c r="AL50" s="693"/>
      <c r="AM50" s="693"/>
      <c r="AN50" s="693"/>
      <c r="AO50" s="693"/>
    </row>
    <row r="51" spans="1:43" s="370" customFormat="1" ht="18.75" hidden="1" customHeight="1">
      <c r="A51" s="669"/>
      <c r="B51" s="671"/>
      <c r="C51" s="671"/>
      <c r="D51" s="671"/>
      <c r="E51" s="669"/>
      <c r="F51" s="669"/>
      <c r="G51" s="669"/>
      <c r="H51" s="669"/>
      <c r="I51" s="669"/>
      <c r="J51" s="669"/>
      <c r="K51" s="669"/>
      <c r="L51" s="669"/>
      <c r="M51" s="669"/>
      <c r="N51" s="669"/>
      <c r="O51" s="669"/>
      <c r="P51" s="669"/>
      <c r="Q51" s="669"/>
      <c r="R51" s="669"/>
      <c r="S51" s="669"/>
      <c r="T51" s="669"/>
      <c r="U51" s="669"/>
      <c r="V51" s="669"/>
      <c r="W51" s="669"/>
      <c r="X51" s="669"/>
      <c r="Y51" s="669"/>
      <c r="Z51" s="669"/>
      <c r="AA51" s="669"/>
      <c r="AB51" s="669"/>
      <c r="AC51" s="669"/>
      <c r="AD51" s="669"/>
      <c r="AE51" s="669"/>
      <c r="AF51" s="669"/>
      <c r="AG51" s="669"/>
      <c r="AH51" s="669"/>
      <c r="AI51" s="669"/>
      <c r="AJ51" s="669"/>
      <c r="AK51" s="669"/>
      <c r="AL51" s="669"/>
      <c r="AM51" s="669"/>
      <c r="AN51" s="669"/>
      <c r="AO51" s="669"/>
    </row>
    <row r="52" spans="1:43" ht="130.65" customHeight="1">
      <c r="A52" s="683">
        <v>2</v>
      </c>
      <c r="B52" s="363" t="s">
        <v>1759</v>
      </c>
      <c r="C52" s="671"/>
      <c r="D52" s="349" t="s">
        <v>47</v>
      </c>
      <c r="E52" s="372" t="s">
        <v>1708</v>
      </c>
      <c r="F52" s="669"/>
      <c r="G52" s="669"/>
      <c r="H52" s="685"/>
      <c r="I52" s="681">
        <v>591006</v>
      </c>
      <c r="J52" s="681">
        <v>127330</v>
      </c>
      <c r="K52" s="681"/>
      <c r="L52" s="686" t="s">
        <v>1760</v>
      </c>
      <c r="M52" s="681">
        <f>N52+O52</f>
        <v>463676</v>
      </c>
      <c r="N52" s="681">
        <v>324573</v>
      </c>
      <c r="O52" s="681">
        <v>139103</v>
      </c>
      <c r="P52" s="681">
        <f>Q52+R52</f>
        <v>261</v>
      </c>
      <c r="Q52" s="361">
        <v>261</v>
      </c>
      <c r="R52" s="681"/>
      <c r="S52" s="681"/>
      <c r="T52" s="681"/>
      <c r="U52" s="681"/>
      <c r="V52" s="681"/>
      <c r="W52" s="681"/>
      <c r="X52" s="681"/>
      <c r="Y52" s="681">
        <f>Z52+AA52</f>
        <v>261</v>
      </c>
      <c r="Z52" s="361">
        <v>261</v>
      </c>
      <c r="AA52" s="681"/>
      <c r="AB52" s="694">
        <v>261</v>
      </c>
      <c r="AC52" s="681"/>
      <c r="AD52" s="681"/>
      <c r="AE52" s="681"/>
      <c r="AF52" s="694">
        <v>261</v>
      </c>
      <c r="AG52" s="681"/>
      <c r="AH52" s="681"/>
      <c r="AI52" s="681"/>
      <c r="AJ52" s="681">
        <f>AN52+AM52</f>
        <v>10000</v>
      </c>
      <c r="AK52" s="681"/>
      <c r="AL52" s="681"/>
      <c r="AM52" s="361">
        <v>10000</v>
      </c>
      <c r="AN52" s="687"/>
      <c r="AO52" s="690" t="s">
        <v>1761</v>
      </c>
      <c r="AP52" s="356" t="s">
        <v>1762</v>
      </c>
      <c r="AQ52" s="956" t="s">
        <v>1763</v>
      </c>
    </row>
    <row r="53" spans="1:43" ht="119.25" customHeight="1">
      <c r="A53" s="695">
        <v>3</v>
      </c>
      <c r="B53" s="696" t="s">
        <v>1688</v>
      </c>
      <c r="C53" s="697"/>
      <c r="D53" s="698" t="s">
        <v>47</v>
      </c>
      <c r="E53" s="374" t="s">
        <v>1764</v>
      </c>
      <c r="F53" s="699"/>
      <c r="G53" s="699"/>
      <c r="H53" s="700"/>
      <c r="I53" s="701">
        <v>353794</v>
      </c>
      <c r="J53" s="701">
        <v>63634</v>
      </c>
      <c r="K53" s="701"/>
      <c r="L53" s="702" t="s">
        <v>1765</v>
      </c>
      <c r="M53" s="701">
        <v>290160</v>
      </c>
      <c r="N53" s="701">
        <v>219960</v>
      </c>
      <c r="O53" s="701">
        <v>70200</v>
      </c>
      <c r="P53" s="701">
        <f>Q53+R53</f>
        <v>228</v>
      </c>
      <c r="Q53" s="703">
        <v>228</v>
      </c>
      <c r="R53" s="701"/>
      <c r="S53" s="701"/>
      <c r="T53" s="701"/>
      <c r="U53" s="701"/>
      <c r="V53" s="701"/>
      <c r="W53" s="701"/>
      <c r="X53" s="701"/>
      <c r="Y53" s="701">
        <f>Z53+AA53</f>
        <v>228</v>
      </c>
      <c r="Z53" s="703">
        <v>228</v>
      </c>
      <c r="AA53" s="701"/>
      <c r="AB53" s="704">
        <v>228</v>
      </c>
      <c r="AC53" s="701"/>
      <c r="AD53" s="701"/>
      <c r="AE53" s="701"/>
      <c r="AF53" s="704">
        <v>228</v>
      </c>
      <c r="AG53" s="701"/>
      <c r="AH53" s="701"/>
      <c r="AI53" s="701"/>
      <c r="AJ53" s="701">
        <f>AN53+AM53</f>
        <v>2500</v>
      </c>
      <c r="AK53" s="701"/>
      <c r="AL53" s="701"/>
      <c r="AM53" s="703">
        <v>2500</v>
      </c>
      <c r="AN53" s="705"/>
      <c r="AO53" s="706" t="s">
        <v>1761</v>
      </c>
      <c r="AP53" s="356" t="s">
        <v>1766</v>
      </c>
      <c r="AQ53" s="956"/>
    </row>
    <row r="54" spans="1:43">
      <c r="A54" s="357"/>
      <c r="B54" s="357"/>
      <c r="C54" s="357"/>
      <c r="D54" s="357"/>
      <c r="E54" s="357"/>
      <c r="F54" s="357"/>
      <c r="G54" s="357"/>
      <c r="H54" s="357"/>
      <c r="I54" s="357"/>
      <c r="J54" s="357"/>
      <c r="K54" s="357"/>
      <c r="L54" s="357"/>
      <c r="M54" s="357"/>
      <c r="N54" s="357"/>
      <c r="O54" s="357"/>
      <c r="P54" s="357"/>
      <c r="Q54" s="357"/>
      <c r="R54" s="357"/>
      <c r="S54" s="357"/>
      <c r="T54" s="357"/>
      <c r="U54" s="357"/>
      <c r="V54" s="357"/>
      <c r="W54" s="357"/>
      <c r="X54" s="357"/>
      <c r="Y54" s="357"/>
      <c r="Z54" s="357"/>
      <c r="AA54" s="357"/>
      <c r="AB54" s="357"/>
      <c r="AC54" s="357"/>
      <c r="AD54" s="357"/>
      <c r="AE54" s="357"/>
      <c r="AF54" s="357"/>
      <c r="AG54" s="357"/>
      <c r="AH54" s="357"/>
      <c r="AI54" s="357"/>
      <c r="AJ54" s="357"/>
      <c r="AK54" s="357"/>
      <c r="AL54" s="357"/>
      <c r="AM54" s="357"/>
      <c r="AN54" s="357"/>
      <c r="AO54" s="357"/>
    </row>
    <row r="55" spans="1:43">
      <c r="A55" s="357"/>
      <c r="B55" s="357"/>
      <c r="C55" s="357"/>
      <c r="D55" s="357"/>
      <c r="E55" s="357"/>
      <c r="F55" s="357"/>
      <c r="G55" s="357"/>
      <c r="H55" s="357"/>
      <c r="I55" s="357"/>
      <c r="J55" s="357"/>
      <c r="K55" s="357"/>
      <c r="L55" s="357"/>
      <c r="M55" s="357"/>
      <c r="N55" s="357"/>
      <c r="O55" s="357"/>
      <c r="P55" s="357"/>
      <c r="Q55" s="357"/>
      <c r="R55" s="357"/>
      <c r="S55" s="357"/>
      <c r="T55" s="357"/>
      <c r="U55" s="357"/>
      <c r="V55" s="357"/>
      <c r="W55" s="357"/>
      <c r="X55" s="357"/>
      <c r="Y55" s="357"/>
      <c r="Z55" s="357"/>
      <c r="AA55" s="357"/>
      <c r="AB55" s="357"/>
      <c r="AC55" s="357"/>
      <c r="AD55" s="357"/>
      <c r="AE55" s="357"/>
      <c r="AF55" s="357"/>
      <c r="AG55" s="357"/>
      <c r="AH55" s="357"/>
      <c r="AI55" s="357"/>
      <c r="AJ55" s="357"/>
      <c r="AK55" s="357"/>
      <c r="AL55" s="357"/>
      <c r="AM55" s="357"/>
      <c r="AN55" s="357"/>
      <c r="AO55" s="357"/>
    </row>
    <row r="56" spans="1:43">
      <c r="A56" s="357"/>
      <c r="B56" s="357"/>
      <c r="C56" s="357"/>
      <c r="D56" s="357"/>
      <c r="E56" s="357"/>
      <c r="F56" s="357"/>
      <c r="G56" s="357"/>
      <c r="H56" s="357"/>
      <c r="I56" s="357"/>
      <c r="J56" s="357"/>
      <c r="K56" s="357"/>
      <c r="L56" s="357"/>
      <c r="M56" s="357"/>
      <c r="N56" s="357"/>
      <c r="O56" s="357"/>
      <c r="P56" s="357"/>
      <c r="Q56" s="357"/>
      <c r="R56" s="357"/>
      <c r="S56" s="357"/>
      <c r="T56" s="357"/>
      <c r="U56" s="357"/>
      <c r="V56" s="357"/>
      <c r="W56" s="357"/>
      <c r="X56" s="357"/>
      <c r="Y56" s="357"/>
      <c r="Z56" s="357"/>
      <c r="AA56" s="357"/>
      <c r="AB56" s="357"/>
      <c r="AC56" s="357"/>
      <c r="AD56" s="357"/>
      <c r="AE56" s="357"/>
      <c r="AF56" s="357"/>
      <c r="AG56" s="357"/>
      <c r="AH56" s="357"/>
      <c r="AI56" s="357"/>
      <c r="AJ56" s="357"/>
      <c r="AK56" s="357"/>
      <c r="AL56" s="357"/>
      <c r="AM56" s="357"/>
      <c r="AN56" s="357"/>
      <c r="AO56" s="357"/>
    </row>
    <row r="57" spans="1:43">
      <c r="A57" s="357"/>
      <c r="B57" s="357"/>
      <c r="C57" s="357"/>
      <c r="D57" s="357"/>
      <c r="E57" s="357"/>
      <c r="F57" s="357"/>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7"/>
      <c r="AF57" s="357"/>
      <c r="AG57" s="357"/>
      <c r="AH57" s="357"/>
      <c r="AI57" s="357"/>
      <c r="AJ57" s="357"/>
      <c r="AK57" s="357"/>
      <c r="AL57" s="357"/>
      <c r="AM57" s="357"/>
      <c r="AN57" s="357"/>
      <c r="AO57" s="357"/>
    </row>
    <row r="58" spans="1:43">
      <c r="A58" s="357"/>
      <c r="B58" s="357"/>
      <c r="C58" s="357"/>
      <c r="D58" s="357"/>
      <c r="E58" s="357"/>
      <c r="F58" s="357"/>
      <c r="G58" s="357"/>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M58" s="357"/>
      <c r="AN58" s="357"/>
      <c r="AO58" s="357"/>
    </row>
    <row r="59" spans="1:43">
      <c r="A59" s="357"/>
      <c r="B59" s="357"/>
      <c r="C59" s="357"/>
      <c r="D59" s="357"/>
      <c r="E59" s="357"/>
      <c r="F59" s="357"/>
      <c r="G59" s="357"/>
      <c r="H59" s="357"/>
      <c r="I59" s="357"/>
      <c r="J59" s="357"/>
      <c r="K59" s="357"/>
      <c r="L59" s="357"/>
      <c r="M59" s="357"/>
      <c r="N59" s="357"/>
      <c r="O59" s="357"/>
      <c r="P59" s="357"/>
      <c r="Q59" s="357"/>
      <c r="R59" s="357"/>
      <c r="S59" s="357"/>
      <c r="T59" s="357"/>
      <c r="U59" s="357"/>
      <c r="V59" s="357"/>
      <c r="W59" s="357"/>
      <c r="X59" s="357"/>
      <c r="Y59" s="357"/>
      <c r="Z59" s="357"/>
      <c r="AA59" s="357"/>
      <c r="AB59" s="357"/>
      <c r="AC59" s="357"/>
      <c r="AD59" s="357"/>
      <c r="AE59" s="357"/>
      <c r="AF59" s="357"/>
      <c r="AG59" s="357"/>
      <c r="AH59" s="357"/>
      <c r="AI59" s="357"/>
      <c r="AJ59" s="357"/>
      <c r="AK59" s="357"/>
      <c r="AL59" s="357"/>
      <c r="AM59" s="357"/>
      <c r="AN59" s="357"/>
      <c r="AO59" s="357"/>
    </row>
    <row r="60" spans="1:43">
      <c r="A60" s="357"/>
      <c r="B60" s="357"/>
      <c r="C60" s="357"/>
      <c r="D60" s="357"/>
      <c r="E60" s="357"/>
      <c r="F60" s="357"/>
      <c r="G60" s="357"/>
      <c r="H60" s="357"/>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7"/>
    </row>
    <row r="61" spans="1:43">
      <c r="A61" s="357"/>
      <c r="B61" s="357"/>
      <c r="C61" s="357"/>
      <c r="D61" s="357"/>
      <c r="E61" s="357"/>
      <c r="F61" s="357"/>
      <c r="G61" s="357"/>
      <c r="H61" s="357"/>
      <c r="I61" s="357"/>
      <c r="J61" s="357"/>
      <c r="K61" s="357"/>
      <c r="L61" s="357"/>
      <c r="M61" s="357"/>
      <c r="N61" s="357"/>
      <c r="O61" s="357"/>
      <c r="P61" s="357"/>
      <c r="Q61" s="357"/>
      <c r="R61" s="357"/>
      <c r="S61" s="357"/>
      <c r="T61" s="357"/>
      <c r="U61" s="357"/>
      <c r="V61" s="357"/>
      <c r="W61" s="357"/>
      <c r="X61" s="357"/>
      <c r="Y61" s="357"/>
      <c r="Z61" s="357"/>
      <c r="AA61" s="357"/>
      <c r="AB61" s="357"/>
      <c r="AC61" s="357"/>
      <c r="AD61" s="357"/>
      <c r="AE61" s="357"/>
      <c r="AF61" s="357"/>
      <c r="AG61" s="357"/>
      <c r="AH61" s="357"/>
      <c r="AI61" s="357"/>
      <c r="AJ61" s="357"/>
      <c r="AK61" s="357"/>
      <c r="AL61" s="357"/>
      <c r="AM61" s="357"/>
      <c r="AN61" s="357"/>
      <c r="AO61" s="357"/>
    </row>
    <row r="62" spans="1:43">
      <c r="A62" s="357"/>
      <c r="B62" s="357"/>
      <c r="C62" s="357"/>
      <c r="D62" s="357"/>
      <c r="E62" s="357"/>
      <c r="F62" s="357"/>
      <c r="G62" s="357"/>
      <c r="H62" s="357"/>
      <c r="I62" s="357"/>
      <c r="J62" s="357"/>
      <c r="K62" s="357"/>
      <c r="L62" s="357"/>
      <c r="M62" s="357"/>
      <c r="N62" s="357"/>
      <c r="O62" s="357"/>
      <c r="P62" s="357"/>
      <c r="Q62" s="357"/>
      <c r="R62" s="357"/>
      <c r="S62" s="357"/>
      <c r="T62" s="357"/>
      <c r="U62" s="357"/>
      <c r="V62" s="357"/>
      <c r="W62" s="357"/>
      <c r="X62" s="357"/>
      <c r="Y62" s="357"/>
      <c r="Z62" s="357"/>
      <c r="AA62" s="357"/>
      <c r="AB62" s="357"/>
      <c r="AC62" s="357"/>
      <c r="AD62" s="357"/>
      <c r="AE62" s="357"/>
      <c r="AF62" s="357"/>
      <c r="AG62" s="357"/>
      <c r="AH62" s="357"/>
      <c r="AI62" s="357"/>
      <c r="AJ62" s="357"/>
      <c r="AK62" s="357"/>
      <c r="AL62" s="357"/>
      <c r="AM62" s="357"/>
      <c r="AN62" s="357"/>
      <c r="AO62" s="357"/>
    </row>
    <row r="63" spans="1:43">
      <c r="A63" s="357"/>
      <c r="B63" s="357"/>
      <c r="C63" s="357"/>
      <c r="D63" s="357"/>
      <c r="E63" s="357"/>
      <c r="F63" s="357"/>
      <c r="G63" s="357"/>
      <c r="H63" s="357"/>
      <c r="I63" s="357"/>
      <c r="J63" s="357"/>
      <c r="K63" s="357"/>
      <c r="L63" s="357"/>
      <c r="M63" s="357"/>
      <c r="N63" s="357"/>
      <c r="O63" s="357"/>
      <c r="P63" s="357"/>
      <c r="Q63" s="357"/>
      <c r="R63" s="357"/>
      <c r="S63" s="357"/>
      <c r="T63" s="357"/>
      <c r="U63" s="357"/>
      <c r="V63" s="357"/>
      <c r="W63" s="357"/>
      <c r="X63" s="357"/>
      <c r="Y63" s="357"/>
      <c r="Z63" s="357"/>
      <c r="AA63" s="357"/>
      <c r="AB63" s="357"/>
      <c r="AC63" s="357"/>
      <c r="AD63" s="357"/>
      <c r="AE63" s="357"/>
      <c r="AF63" s="357"/>
      <c r="AG63" s="357"/>
      <c r="AH63" s="357"/>
      <c r="AI63" s="357"/>
      <c r="AJ63" s="357"/>
      <c r="AK63" s="357"/>
      <c r="AL63" s="357"/>
      <c r="AM63" s="357"/>
      <c r="AN63" s="357"/>
      <c r="AO63" s="357"/>
    </row>
    <row r="64" spans="1:43">
      <c r="A64" s="357"/>
      <c r="B64" s="357"/>
      <c r="C64" s="357"/>
      <c r="D64" s="357"/>
      <c r="E64" s="357"/>
      <c r="F64" s="357"/>
      <c r="G64" s="357"/>
      <c r="H64" s="357"/>
      <c r="I64" s="357"/>
      <c r="J64" s="357"/>
      <c r="K64" s="357"/>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7"/>
      <c r="AJ64" s="357"/>
      <c r="AK64" s="357"/>
      <c r="AL64" s="357"/>
      <c r="AM64" s="357"/>
      <c r="AN64" s="357"/>
      <c r="AO64" s="357"/>
    </row>
    <row r="65" s="357" customFormat="1"/>
    <row r="66" s="357" customFormat="1"/>
    <row r="67" s="357" customFormat="1"/>
    <row r="68" s="357" customFormat="1"/>
    <row r="69" s="357" customFormat="1"/>
    <row r="70" s="357" customFormat="1"/>
    <row r="71" s="357" customFormat="1"/>
    <row r="72" s="357" customFormat="1"/>
    <row r="73" s="357" customFormat="1"/>
    <row r="74" s="357" customFormat="1"/>
    <row r="75" s="357" customFormat="1"/>
    <row r="76" s="357" customFormat="1"/>
    <row r="77" s="357" customFormat="1"/>
    <row r="78" s="357" customFormat="1"/>
    <row r="79" s="357" customFormat="1"/>
    <row r="80" s="357" customFormat="1"/>
    <row r="81" s="357" customFormat="1"/>
    <row r="82" s="357" customFormat="1"/>
    <row r="83" s="357" customFormat="1"/>
    <row r="84" s="357" customFormat="1"/>
    <row r="85" s="357" customFormat="1"/>
    <row r="86" s="357" customFormat="1"/>
    <row r="87" s="357" customFormat="1"/>
    <row r="88" s="357" customFormat="1"/>
    <row r="89" s="357" customFormat="1"/>
    <row r="90" s="357" customFormat="1"/>
    <row r="91" s="357" customFormat="1"/>
    <row r="92" s="357" customFormat="1"/>
    <row r="93" s="357" customFormat="1"/>
    <row r="94" s="357" customFormat="1"/>
    <row r="95" s="357" customFormat="1"/>
    <row r="96" s="357" customFormat="1"/>
    <row r="97" s="357" customFormat="1"/>
    <row r="98" s="357" customFormat="1"/>
    <row r="99" s="357" customFormat="1"/>
    <row r="100" s="357" customFormat="1"/>
    <row r="101" s="357" customFormat="1"/>
    <row r="102" s="357" customFormat="1"/>
    <row r="103" s="357" customFormat="1"/>
    <row r="104" s="357" customFormat="1"/>
    <row r="105" s="357" customFormat="1"/>
    <row r="106" s="357" customFormat="1"/>
    <row r="107" s="357" customFormat="1"/>
    <row r="108" s="357" customFormat="1"/>
    <row r="109" s="357" customFormat="1"/>
    <row r="110" s="357" customFormat="1"/>
    <row r="111" s="357" customFormat="1"/>
    <row r="112" s="357" customFormat="1"/>
    <row r="113" s="357" customFormat="1"/>
    <row r="114" s="357" customFormat="1"/>
    <row r="115" s="357" customFormat="1"/>
    <row r="116" s="357" customFormat="1"/>
    <row r="117" s="357" customFormat="1"/>
    <row r="118" s="357" customFormat="1"/>
    <row r="119" s="357" customFormat="1"/>
    <row r="120" s="357" customFormat="1"/>
    <row r="121" s="357" customFormat="1"/>
    <row r="122" s="357" customFormat="1"/>
    <row r="123" s="357" customFormat="1"/>
    <row r="124" s="357" customFormat="1"/>
    <row r="125" s="357" customFormat="1"/>
    <row r="126" s="357" customFormat="1"/>
    <row r="127" s="357" customFormat="1"/>
    <row r="128" s="357" customFormat="1"/>
    <row r="129" s="357" customFormat="1"/>
    <row r="130" s="357" customFormat="1"/>
    <row r="131" s="357" customFormat="1"/>
    <row r="132" s="357" customFormat="1"/>
    <row r="133" s="357" customFormat="1"/>
    <row r="134" s="357" customFormat="1"/>
    <row r="135" s="357" customFormat="1"/>
    <row r="136" s="357" customFormat="1"/>
    <row r="137" s="357" customFormat="1"/>
    <row r="138" s="357" customFormat="1"/>
    <row r="139" s="357" customFormat="1"/>
    <row r="140" s="357" customFormat="1"/>
    <row r="141" s="357" customFormat="1"/>
    <row r="142" s="357" customFormat="1"/>
    <row r="143" s="357" customFormat="1"/>
    <row r="144" s="357" customFormat="1"/>
    <row r="145" s="357" customFormat="1"/>
    <row r="146" s="357" customFormat="1"/>
    <row r="147" s="357" customFormat="1"/>
    <row r="148" s="357" customFormat="1"/>
    <row r="149" s="357" customFormat="1"/>
    <row r="150" s="357" customFormat="1"/>
    <row r="151" s="357" customFormat="1"/>
    <row r="152" s="357" customFormat="1"/>
    <row r="153" s="357" customFormat="1"/>
    <row r="154" s="357" customFormat="1"/>
    <row r="155" s="357" customFormat="1"/>
    <row r="156" s="357" customFormat="1"/>
    <row r="157" s="357" customFormat="1"/>
    <row r="158" s="357" customFormat="1"/>
    <row r="159" s="357" customFormat="1"/>
    <row r="160" s="357" customFormat="1"/>
    <row r="161" s="357" customFormat="1"/>
    <row r="162" s="357" customFormat="1"/>
    <row r="163" s="357" customFormat="1"/>
    <row r="164" s="357" customFormat="1"/>
    <row r="165" s="357" customFormat="1"/>
    <row r="166" s="357" customFormat="1"/>
    <row r="167" s="357" customFormat="1"/>
    <row r="168" s="357" customFormat="1"/>
    <row r="169" s="357" customFormat="1"/>
    <row r="170" s="357" customFormat="1"/>
    <row r="171" s="357" customFormat="1"/>
    <row r="172" s="357" customFormat="1"/>
    <row r="173" s="357" customFormat="1"/>
    <row r="174" s="357" customFormat="1"/>
    <row r="175" s="357" customFormat="1"/>
    <row r="176" s="357" customFormat="1"/>
    <row r="177" s="357" customFormat="1"/>
    <row r="178" s="357" customFormat="1"/>
    <row r="179" s="357" customFormat="1"/>
    <row r="180" s="357" customFormat="1"/>
    <row r="181" s="357" customFormat="1"/>
    <row r="182" s="357" customFormat="1"/>
    <row r="183" s="357" customFormat="1"/>
    <row r="184" s="357" customFormat="1"/>
    <row r="185" s="357" customFormat="1"/>
    <row r="186" s="357" customFormat="1"/>
    <row r="187" s="357" customFormat="1"/>
    <row r="188" s="357" customFormat="1"/>
    <row r="189" s="357" customFormat="1"/>
    <row r="190" s="357" customFormat="1"/>
    <row r="191" s="357" customFormat="1"/>
    <row r="192" s="357" customFormat="1"/>
    <row r="193" s="357" customFormat="1"/>
    <row r="194" s="357" customFormat="1"/>
    <row r="195" s="357" customFormat="1"/>
    <row r="196" s="357" customFormat="1"/>
    <row r="197" s="357" customFormat="1"/>
    <row r="198" s="357" customFormat="1"/>
    <row r="199" s="357" customFormat="1"/>
    <row r="200" s="357" customFormat="1"/>
    <row r="201" s="357" customFormat="1"/>
    <row r="202" s="357" customFormat="1"/>
    <row r="203" s="357" customFormat="1"/>
    <row r="204" s="357" customFormat="1"/>
    <row r="205" s="357" customFormat="1"/>
    <row r="206" s="357" customFormat="1"/>
    <row r="207" s="357" customFormat="1"/>
    <row r="208" s="357" customFormat="1"/>
    <row r="209" s="357" customFormat="1"/>
    <row r="210" s="357" customFormat="1"/>
    <row r="211" s="357" customFormat="1"/>
    <row r="212" s="357" customFormat="1"/>
    <row r="213" s="357" customFormat="1"/>
    <row r="214" s="357" customFormat="1"/>
    <row r="215" s="357" customFormat="1"/>
    <row r="216" s="357" customFormat="1"/>
    <row r="217" s="357" customFormat="1"/>
    <row r="218" s="357" customFormat="1"/>
    <row r="219" s="357" customFormat="1"/>
    <row r="220" s="357" customFormat="1"/>
    <row r="221" s="357" customFormat="1"/>
    <row r="222" s="357" customFormat="1"/>
    <row r="223" s="357" customFormat="1"/>
    <row r="224" s="357" customFormat="1"/>
    <row r="225" s="357" customFormat="1"/>
    <row r="226" s="357" customFormat="1"/>
    <row r="227" s="357" customFormat="1"/>
    <row r="228" s="357" customFormat="1"/>
    <row r="229" s="357" customFormat="1"/>
    <row r="230" s="357" customFormat="1"/>
    <row r="231" s="357" customFormat="1"/>
    <row r="232" s="357" customFormat="1"/>
    <row r="233" s="357" customFormat="1"/>
    <row r="234" s="357" customFormat="1"/>
    <row r="235" s="357" customFormat="1"/>
    <row r="236" s="357" customFormat="1"/>
    <row r="237" s="357" customFormat="1"/>
    <row r="238" s="357" customFormat="1"/>
    <row r="239" s="357" customFormat="1"/>
    <row r="240" s="357" customFormat="1"/>
    <row r="241" s="357" customFormat="1"/>
    <row r="242" s="357" customFormat="1"/>
    <row r="243" s="357" customFormat="1"/>
    <row r="244" s="357" customFormat="1"/>
    <row r="245" s="357" customFormat="1"/>
    <row r="246" s="357" customFormat="1"/>
    <row r="247" s="357" customFormat="1"/>
    <row r="248" s="357" customFormat="1"/>
    <row r="249" s="357" customFormat="1"/>
    <row r="250" s="357" customFormat="1"/>
    <row r="251" s="357" customFormat="1"/>
    <row r="252" s="357" customFormat="1"/>
    <row r="253" s="357" customFormat="1"/>
    <row r="254" s="357" customFormat="1"/>
    <row r="255" s="357" customFormat="1"/>
    <row r="256" s="357" customFormat="1"/>
    <row r="257" s="357" customFormat="1"/>
    <row r="258" s="357" customFormat="1"/>
    <row r="259" s="357" customFormat="1"/>
    <row r="260" s="357" customFormat="1"/>
    <row r="261" s="357" customFormat="1"/>
    <row r="262" s="357" customFormat="1"/>
    <row r="263" s="357" customFormat="1"/>
    <row r="264" s="357" customFormat="1"/>
    <row r="265" s="357" customFormat="1"/>
    <row r="266" s="357" customFormat="1"/>
    <row r="267" s="357" customFormat="1"/>
    <row r="268" s="357" customFormat="1"/>
    <row r="269" s="357" customFormat="1"/>
    <row r="270" s="357" customFormat="1"/>
    <row r="271" s="357" customFormat="1"/>
    <row r="272" s="357" customFormat="1"/>
    <row r="273" s="357" customFormat="1"/>
    <row r="274" s="357" customFormat="1"/>
    <row r="275" s="357" customFormat="1"/>
    <row r="276" s="357" customFormat="1"/>
    <row r="277" s="357" customFormat="1"/>
    <row r="278" s="357" customFormat="1"/>
    <row r="279" s="357" customFormat="1"/>
    <row r="280" s="357" customFormat="1"/>
    <row r="281" s="357" customFormat="1"/>
    <row r="282" s="357" customFormat="1"/>
    <row r="283" s="357" customFormat="1"/>
    <row r="284" s="357" customFormat="1"/>
    <row r="285" s="357" customFormat="1"/>
    <row r="286" s="357" customFormat="1"/>
    <row r="287" s="357" customFormat="1"/>
    <row r="288" s="357" customFormat="1"/>
    <row r="289" s="357" customFormat="1"/>
    <row r="290" s="357" customFormat="1"/>
    <row r="291" s="357" customFormat="1"/>
    <row r="292" s="357" customFormat="1"/>
    <row r="293" s="357" customFormat="1"/>
    <row r="294" s="357" customFormat="1"/>
    <row r="295" s="357" customFormat="1"/>
    <row r="296" s="357" customFormat="1"/>
    <row r="297" s="357" customFormat="1"/>
    <row r="298" s="357" customFormat="1"/>
    <row r="299" s="357" customFormat="1"/>
    <row r="300" s="357" customFormat="1"/>
    <row r="301" s="357" customFormat="1"/>
    <row r="302" s="357" customFormat="1"/>
    <row r="303" s="357" customFormat="1"/>
    <row r="304" s="357" customFormat="1"/>
    <row r="305" s="357" customFormat="1"/>
    <row r="306" s="357" customFormat="1"/>
    <row r="307" s="357" customFormat="1"/>
    <row r="308" s="357" customFormat="1"/>
    <row r="309" s="357" customFormat="1"/>
    <row r="310" s="357" customFormat="1"/>
    <row r="311" s="357" customFormat="1"/>
    <row r="312" s="357" customFormat="1"/>
    <row r="313" s="357" customFormat="1"/>
    <row r="314" s="357" customFormat="1"/>
    <row r="315" s="357" customFormat="1"/>
    <row r="316" s="357" customFormat="1"/>
    <row r="317" s="357" customFormat="1"/>
    <row r="318" s="357" customFormat="1"/>
    <row r="319" s="357" customFormat="1"/>
    <row r="320" s="357" customFormat="1"/>
    <row r="321" s="357" customFormat="1"/>
    <row r="322" s="357" customFormat="1"/>
    <row r="323" s="357" customFormat="1"/>
    <row r="324" s="357" customFormat="1"/>
    <row r="325" s="357" customFormat="1"/>
    <row r="326" s="357" customFormat="1"/>
    <row r="327" s="357" customFormat="1"/>
    <row r="328" s="357" customFormat="1"/>
    <row r="329" s="357" customFormat="1"/>
    <row r="330" s="357" customFormat="1"/>
    <row r="331" s="357" customFormat="1"/>
    <row r="332" s="357" customFormat="1"/>
    <row r="333" s="357" customFormat="1"/>
    <row r="334" s="357" customFormat="1"/>
  </sheetData>
  <mergeCells count="70">
    <mergeCell ref="A1:AO1"/>
    <mergeCell ref="A2:AO2"/>
    <mergeCell ref="A3:AO3"/>
    <mergeCell ref="A4:AO4"/>
    <mergeCell ref="A5:A12"/>
    <mergeCell ref="B5:B12"/>
    <mergeCell ref="C5:C12"/>
    <mergeCell ref="D5:D12"/>
    <mergeCell ref="E5:E12"/>
    <mergeCell ref="F5:F12"/>
    <mergeCell ref="AO5:AO12"/>
    <mergeCell ref="H6:H12"/>
    <mergeCell ref="I6:O6"/>
    <mergeCell ref="P6:R6"/>
    <mergeCell ref="S6:U6"/>
    <mergeCell ref="G5:G12"/>
    <mergeCell ref="H5:O5"/>
    <mergeCell ref="P5:AA5"/>
    <mergeCell ref="AB5:AI5"/>
    <mergeCell ref="AJ5:AN6"/>
    <mergeCell ref="V6:X6"/>
    <mergeCell ref="Y6:AA6"/>
    <mergeCell ref="AB6:AE6"/>
    <mergeCell ref="AF6:AI6"/>
    <mergeCell ref="I7:I12"/>
    <mergeCell ref="J7:O7"/>
    <mergeCell ref="P7:P12"/>
    <mergeCell ref="Q7:R7"/>
    <mergeCell ref="S7:S12"/>
    <mergeCell ref="J8:K9"/>
    <mergeCell ref="L8:O9"/>
    <mergeCell ref="Q8:Q12"/>
    <mergeCell ref="R8:R12"/>
    <mergeCell ref="T7:U7"/>
    <mergeCell ref="AB7:AB12"/>
    <mergeCell ref="AC7:AE7"/>
    <mergeCell ref="W8:W12"/>
    <mergeCell ref="X8:X12"/>
    <mergeCell ref="Z8:Z12"/>
    <mergeCell ref="AA8:AA12"/>
    <mergeCell ref="U8:U12"/>
    <mergeCell ref="V7:V12"/>
    <mergeCell ref="W7:X7"/>
    <mergeCell ref="Y7:Y12"/>
    <mergeCell ref="Z7:AA7"/>
    <mergeCell ref="T8:T12"/>
    <mergeCell ref="AG8:AH8"/>
    <mergeCell ref="AI8:AI12"/>
    <mergeCell ref="AK8:AL8"/>
    <mergeCell ref="AM8:AM12"/>
    <mergeCell ref="AF7:AF12"/>
    <mergeCell ref="AG7:AI7"/>
    <mergeCell ref="AJ7:AJ12"/>
    <mergeCell ref="AK7:AN7"/>
    <mergeCell ref="AQ52:AQ53"/>
    <mergeCell ref="J10:J12"/>
    <mergeCell ref="K10:K12"/>
    <mergeCell ref="L10:L12"/>
    <mergeCell ref="M10:O10"/>
    <mergeCell ref="M11:M12"/>
    <mergeCell ref="N11:O11"/>
    <mergeCell ref="AN8:AN12"/>
    <mergeCell ref="AC9:AC12"/>
    <mergeCell ref="AD9:AD12"/>
    <mergeCell ref="AG9:AG12"/>
    <mergeCell ref="AH9:AH12"/>
    <mergeCell ref="AK9:AK12"/>
    <mergeCell ref="AL9:AL12"/>
    <mergeCell ref="AC8:AD8"/>
    <mergeCell ref="AE8:AE12"/>
  </mergeCells>
  <pageMargins left="0.39370078740157483" right="0.27" top="0.74803149606299213" bottom="0.74803149606299213" header="0.31496062992125984" footer="0.31496062992125984"/>
  <pageSetup paperSize="9" scale="32" orientation="landscape" r:id="rId1"/>
  <headerFooter>
    <oddFooter>&amp;R&amp;P/&amp;N</oddFooter>
  </headerFooter>
  <colBreaks count="1" manualBreakCount="1">
    <brk id="4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zoomScale="85" zoomScaleNormal="85" workbookViewId="0">
      <pane xSplit="2" ySplit="7" topLeftCell="C8" activePane="bottomRight" state="frozen"/>
      <selection pane="topRight" activeCell="C1" sqref="C1"/>
      <selection pane="bottomLeft" activeCell="A7" sqref="A7"/>
      <selection pane="bottomRight" sqref="A1:G14"/>
    </sheetView>
  </sheetViews>
  <sheetFormatPr defaultRowHeight="14.4"/>
  <cols>
    <col min="1" max="1" width="5.33203125" customWidth="1"/>
    <col min="2" max="2" width="51.109375" customWidth="1"/>
    <col min="3" max="3" width="16.44140625" hidden="1" customWidth="1"/>
    <col min="4" max="4" width="13.109375" hidden="1" customWidth="1"/>
    <col min="5" max="5" width="10" hidden="1" customWidth="1"/>
    <col min="6" max="6" width="22.109375" customWidth="1"/>
    <col min="7" max="7" width="16.44140625" customWidth="1"/>
    <col min="8" max="8" width="14.33203125" hidden="1" customWidth="1"/>
    <col min="9" max="9" width="15" hidden="1" customWidth="1"/>
    <col min="10" max="10" width="14.109375" hidden="1" customWidth="1"/>
    <col min="11" max="11" width="15.6640625" hidden="1" customWidth="1"/>
    <col min="12" max="12" width="13" hidden="1" customWidth="1"/>
    <col min="13" max="13" width="11.5546875" hidden="1" customWidth="1"/>
    <col min="14" max="14" width="10.88671875" hidden="1" customWidth="1"/>
    <col min="15" max="16" width="9.33203125" hidden="1" customWidth="1"/>
    <col min="18" max="18" width="13.33203125" hidden="1" customWidth="1"/>
    <col min="20" max="20" width="13.33203125" hidden="1" customWidth="1"/>
    <col min="21" max="21" width="0" hidden="1" customWidth="1"/>
    <col min="22" max="22" width="9.33203125" hidden="1" customWidth="1"/>
    <col min="23" max="23" width="13.33203125" hidden="1" customWidth="1"/>
    <col min="25" max="25" width="13.33203125" bestFit="1" customWidth="1"/>
    <col min="243" max="243" width="6" customWidth="1"/>
    <col min="244" max="244" width="32.109375" customWidth="1"/>
    <col min="245" max="248" width="12.33203125" customWidth="1"/>
    <col min="249" max="250" width="0" hidden="1" customWidth="1"/>
    <col min="251" max="252" width="12.33203125" customWidth="1"/>
    <col min="253" max="258" width="11.33203125" customWidth="1"/>
    <col min="260" max="260" width="11.88671875" customWidth="1"/>
    <col min="499" max="499" width="6" customWidth="1"/>
    <col min="500" max="500" width="32.109375" customWidth="1"/>
    <col min="501" max="504" width="12.33203125" customWidth="1"/>
    <col min="505" max="506" width="0" hidden="1" customWidth="1"/>
    <col min="507" max="508" width="12.33203125" customWidth="1"/>
    <col min="509" max="514" width="11.33203125" customWidth="1"/>
    <col min="516" max="516" width="11.88671875" customWidth="1"/>
    <col min="755" max="755" width="6" customWidth="1"/>
    <col min="756" max="756" width="32.109375" customWidth="1"/>
    <col min="757" max="760" width="12.33203125" customWidth="1"/>
    <col min="761" max="762" width="0" hidden="1" customWidth="1"/>
    <col min="763" max="764" width="12.33203125" customWidth="1"/>
    <col min="765" max="770" width="11.33203125" customWidth="1"/>
    <col min="772" max="772" width="11.88671875" customWidth="1"/>
    <col min="1011" max="1011" width="6" customWidth="1"/>
    <col min="1012" max="1012" width="32.109375" customWidth="1"/>
    <col min="1013" max="1016" width="12.33203125" customWidth="1"/>
    <col min="1017" max="1018" width="0" hidden="1" customWidth="1"/>
    <col min="1019" max="1020" width="12.33203125" customWidth="1"/>
    <col min="1021" max="1026" width="11.33203125" customWidth="1"/>
    <col min="1028" max="1028" width="11.88671875" customWidth="1"/>
    <col min="1267" max="1267" width="6" customWidth="1"/>
    <col min="1268" max="1268" width="32.109375" customWidth="1"/>
    <col min="1269" max="1272" width="12.33203125" customWidth="1"/>
    <col min="1273" max="1274" width="0" hidden="1" customWidth="1"/>
    <col min="1275" max="1276" width="12.33203125" customWidth="1"/>
    <col min="1277" max="1282" width="11.33203125" customWidth="1"/>
    <col min="1284" max="1284" width="11.88671875" customWidth="1"/>
    <col min="1523" max="1523" width="6" customWidth="1"/>
    <col min="1524" max="1524" width="32.109375" customWidth="1"/>
    <col min="1525" max="1528" width="12.33203125" customWidth="1"/>
    <col min="1529" max="1530" width="0" hidden="1" customWidth="1"/>
    <col min="1531" max="1532" width="12.33203125" customWidth="1"/>
    <col min="1533" max="1538" width="11.33203125" customWidth="1"/>
    <col min="1540" max="1540" width="11.88671875" customWidth="1"/>
    <col min="1779" max="1779" width="6" customWidth="1"/>
    <col min="1780" max="1780" width="32.109375" customWidth="1"/>
    <col min="1781" max="1784" width="12.33203125" customWidth="1"/>
    <col min="1785" max="1786" width="0" hidden="1" customWidth="1"/>
    <col min="1787" max="1788" width="12.33203125" customWidth="1"/>
    <col min="1789" max="1794" width="11.33203125" customWidth="1"/>
    <col min="1796" max="1796" width="11.88671875" customWidth="1"/>
    <col min="2035" max="2035" width="6" customWidth="1"/>
    <col min="2036" max="2036" width="32.109375" customWidth="1"/>
    <col min="2037" max="2040" width="12.33203125" customWidth="1"/>
    <col min="2041" max="2042" width="0" hidden="1" customWidth="1"/>
    <col min="2043" max="2044" width="12.33203125" customWidth="1"/>
    <col min="2045" max="2050" width="11.33203125" customWidth="1"/>
    <col min="2052" max="2052" width="11.88671875" customWidth="1"/>
    <col min="2291" max="2291" width="6" customWidth="1"/>
    <col min="2292" max="2292" width="32.109375" customWidth="1"/>
    <col min="2293" max="2296" width="12.33203125" customWidth="1"/>
    <col min="2297" max="2298" width="0" hidden="1" customWidth="1"/>
    <col min="2299" max="2300" width="12.33203125" customWidth="1"/>
    <col min="2301" max="2306" width="11.33203125" customWidth="1"/>
    <col min="2308" max="2308" width="11.88671875" customWidth="1"/>
    <col min="2547" max="2547" width="6" customWidth="1"/>
    <col min="2548" max="2548" width="32.109375" customWidth="1"/>
    <col min="2549" max="2552" width="12.33203125" customWidth="1"/>
    <col min="2553" max="2554" width="0" hidden="1" customWidth="1"/>
    <col min="2555" max="2556" width="12.33203125" customWidth="1"/>
    <col min="2557" max="2562" width="11.33203125" customWidth="1"/>
    <col min="2564" max="2564" width="11.88671875" customWidth="1"/>
    <col min="2803" max="2803" width="6" customWidth="1"/>
    <col min="2804" max="2804" width="32.109375" customWidth="1"/>
    <col min="2805" max="2808" width="12.33203125" customWidth="1"/>
    <col min="2809" max="2810" width="0" hidden="1" customWidth="1"/>
    <col min="2811" max="2812" width="12.33203125" customWidth="1"/>
    <col min="2813" max="2818" width="11.33203125" customWidth="1"/>
    <col min="2820" max="2820" width="11.88671875" customWidth="1"/>
    <col min="3059" max="3059" width="6" customWidth="1"/>
    <col min="3060" max="3060" width="32.109375" customWidth="1"/>
    <col min="3061" max="3064" width="12.33203125" customWidth="1"/>
    <col min="3065" max="3066" width="0" hidden="1" customWidth="1"/>
    <col min="3067" max="3068" width="12.33203125" customWidth="1"/>
    <col min="3069" max="3074" width="11.33203125" customWidth="1"/>
    <col min="3076" max="3076" width="11.88671875" customWidth="1"/>
    <col min="3315" max="3315" width="6" customWidth="1"/>
    <col min="3316" max="3316" width="32.109375" customWidth="1"/>
    <col min="3317" max="3320" width="12.33203125" customWidth="1"/>
    <col min="3321" max="3322" width="0" hidden="1" customWidth="1"/>
    <col min="3323" max="3324" width="12.33203125" customWidth="1"/>
    <col min="3325" max="3330" width="11.33203125" customWidth="1"/>
    <col min="3332" max="3332" width="11.88671875" customWidth="1"/>
    <col min="3571" max="3571" width="6" customWidth="1"/>
    <col min="3572" max="3572" width="32.109375" customWidth="1"/>
    <col min="3573" max="3576" width="12.33203125" customWidth="1"/>
    <col min="3577" max="3578" width="0" hidden="1" customWidth="1"/>
    <col min="3579" max="3580" width="12.33203125" customWidth="1"/>
    <col min="3581" max="3586" width="11.33203125" customWidth="1"/>
    <col min="3588" max="3588" width="11.88671875" customWidth="1"/>
    <col min="3827" max="3827" width="6" customWidth="1"/>
    <col min="3828" max="3828" width="32.109375" customWidth="1"/>
    <col min="3829" max="3832" width="12.33203125" customWidth="1"/>
    <col min="3833" max="3834" width="0" hidden="1" customWidth="1"/>
    <col min="3835" max="3836" width="12.33203125" customWidth="1"/>
    <col min="3837" max="3842" width="11.33203125" customWidth="1"/>
    <col min="3844" max="3844" width="11.88671875" customWidth="1"/>
    <col min="4083" max="4083" width="6" customWidth="1"/>
    <col min="4084" max="4084" width="32.109375" customWidth="1"/>
    <col min="4085" max="4088" width="12.33203125" customWidth="1"/>
    <col min="4089" max="4090" width="0" hidden="1" customWidth="1"/>
    <col min="4091" max="4092" width="12.33203125" customWidth="1"/>
    <col min="4093" max="4098" width="11.33203125" customWidth="1"/>
    <col min="4100" max="4100" width="11.88671875" customWidth="1"/>
    <col min="4339" max="4339" width="6" customWidth="1"/>
    <col min="4340" max="4340" width="32.109375" customWidth="1"/>
    <col min="4341" max="4344" width="12.33203125" customWidth="1"/>
    <col min="4345" max="4346" width="0" hidden="1" customWidth="1"/>
    <col min="4347" max="4348" width="12.33203125" customWidth="1"/>
    <col min="4349" max="4354" width="11.33203125" customWidth="1"/>
    <col min="4356" max="4356" width="11.88671875" customWidth="1"/>
    <col min="4595" max="4595" width="6" customWidth="1"/>
    <col min="4596" max="4596" width="32.109375" customWidth="1"/>
    <col min="4597" max="4600" width="12.33203125" customWidth="1"/>
    <col min="4601" max="4602" width="0" hidden="1" customWidth="1"/>
    <col min="4603" max="4604" width="12.33203125" customWidth="1"/>
    <col min="4605" max="4610" width="11.33203125" customWidth="1"/>
    <col min="4612" max="4612" width="11.88671875" customWidth="1"/>
    <col min="4851" max="4851" width="6" customWidth="1"/>
    <col min="4852" max="4852" width="32.109375" customWidth="1"/>
    <col min="4853" max="4856" width="12.33203125" customWidth="1"/>
    <col min="4857" max="4858" width="0" hidden="1" customWidth="1"/>
    <col min="4859" max="4860" width="12.33203125" customWidth="1"/>
    <col min="4861" max="4866" width="11.33203125" customWidth="1"/>
    <col min="4868" max="4868" width="11.88671875" customWidth="1"/>
    <col min="5107" max="5107" width="6" customWidth="1"/>
    <col min="5108" max="5108" width="32.109375" customWidth="1"/>
    <col min="5109" max="5112" width="12.33203125" customWidth="1"/>
    <col min="5113" max="5114" width="0" hidden="1" customWidth="1"/>
    <col min="5115" max="5116" width="12.33203125" customWidth="1"/>
    <col min="5117" max="5122" width="11.33203125" customWidth="1"/>
    <col min="5124" max="5124" width="11.88671875" customWidth="1"/>
    <col min="5363" max="5363" width="6" customWidth="1"/>
    <col min="5364" max="5364" width="32.109375" customWidth="1"/>
    <col min="5365" max="5368" width="12.33203125" customWidth="1"/>
    <col min="5369" max="5370" width="0" hidden="1" customWidth="1"/>
    <col min="5371" max="5372" width="12.33203125" customWidth="1"/>
    <col min="5373" max="5378" width="11.33203125" customWidth="1"/>
    <col min="5380" max="5380" width="11.88671875" customWidth="1"/>
    <col min="5619" max="5619" width="6" customWidth="1"/>
    <col min="5620" max="5620" width="32.109375" customWidth="1"/>
    <col min="5621" max="5624" width="12.33203125" customWidth="1"/>
    <col min="5625" max="5626" width="0" hidden="1" customWidth="1"/>
    <col min="5627" max="5628" width="12.33203125" customWidth="1"/>
    <col min="5629" max="5634" width="11.33203125" customWidth="1"/>
    <col min="5636" max="5636" width="11.88671875" customWidth="1"/>
    <col min="5875" max="5875" width="6" customWidth="1"/>
    <col min="5876" max="5876" width="32.109375" customWidth="1"/>
    <col min="5877" max="5880" width="12.33203125" customWidth="1"/>
    <col min="5881" max="5882" width="0" hidden="1" customWidth="1"/>
    <col min="5883" max="5884" width="12.33203125" customWidth="1"/>
    <col min="5885" max="5890" width="11.33203125" customWidth="1"/>
    <col min="5892" max="5892" width="11.88671875" customWidth="1"/>
    <col min="6131" max="6131" width="6" customWidth="1"/>
    <col min="6132" max="6132" width="32.109375" customWidth="1"/>
    <col min="6133" max="6136" width="12.33203125" customWidth="1"/>
    <col min="6137" max="6138" width="0" hidden="1" customWidth="1"/>
    <col min="6139" max="6140" width="12.33203125" customWidth="1"/>
    <col min="6141" max="6146" width="11.33203125" customWidth="1"/>
    <col min="6148" max="6148" width="11.88671875" customWidth="1"/>
    <col min="6387" max="6387" width="6" customWidth="1"/>
    <col min="6388" max="6388" width="32.109375" customWidth="1"/>
    <col min="6389" max="6392" width="12.33203125" customWidth="1"/>
    <col min="6393" max="6394" width="0" hidden="1" customWidth="1"/>
    <col min="6395" max="6396" width="12.33203125" customWidth="1"/>
    <col min="6397" max="6402" width="11.33203125" customWidth="1"/>
    <col min="6404" max="6404" width="11.88671875" customWidth="1"/>
    <col min="6643" max="6643" width="6" customWidth="1"/>
    <col min="6644" max="6644" width="32.109375" customWidth="1"/>
    <col min="6645" max="6648" width="12.33203125" customWidth="1"/>
    <col min="6649" max="6650" width="0" hidden="1" customWidth="1"/>
    <col min="6651" max="6652" width="12.33203125" customWidth="1"/>
    <col min="6653" max="6658" width="11.33203125" customWidth="1"/>
    <col min="6660" max="6660" width="11.88671875" customWidth="1"/>
    <col min="6899" max="6899" width="6" customWidth="1"/>
    <col min="6900" max="6900" width="32.109375" customWidth="1"/>
    <col min="6901" max="6904" width="12.33203125" customWidth="1"/>
    <col min="6905" max="6906" width="0" hidden="1" customWidth="1"/>
    <col min="6907" max="6908" width="12.33203125" customWidth="1"/>
    <col min="6909" max="6914" width="11.33203125" customWidth="1"/>
    <col min="6916" max="6916" width="11.88671875" customWidth="1"/>
    <col min="7155" max="7155" width="6" customWidth="1"/>
    <col min="7156" max="7156" width="32.109375" customWidth="1"/>
    <col min="7157" max="7160" width="12.33203125" customWidth="1"/>
    <col min="7161" max="7162" width="0" hidden="1" customWidth="1"/>
    <col min="7163" max="7164" width="12.33203125" customWidth="1"/>
    <col min="7165" max="7170" width="11.33203125" customWidth="1"/>
    <col min="7172" max="7172" width="11.88671875" customWidth="1"/>
    <col min="7411" max="7411" width="6" customWidth="1"/>
    <col min="7412" max="7412" width="32.109375" customWidth="1"/>
    <col min="7413" max="7416" width="12.33203125" customWidth="1"/>
    <col min="7417" max="7418" width="0" hidden="1" customWidth="1"/>
    <col min="7419" max="7420" width="12.33203125" customWidth="1"/>
    <col min="7421" max="7426" width="11.33203125" customWidth="1"/>
    <col min="7428" max="7428" width="11.88671875" customWidth="1"/>
    <col min="7667" max="7667" width="6" customWidth="1"/>
    <col min="7668" max="7668" width="32.109375" customWidth="1"/>
    <col min="7669" max="7672" width="12.33203125" customWidth="1"/>
    <col min="7673" max="7674" width="0" hidden="1" customWidth="1"/>
    <col min="7675" max="7676" width="12.33203125" customWidth="1"/>
    <col min="7677" max="7682" width="11.33203125" customWidth="1"/>
    <col min="7684" max="7684" width="11.88671875" customWidth="1"/>
    <col min="7923" max="7923" width="6" customWidth="1"/>
    <col min="7924" max="7924" width="32.109375" customWidth="1"/>
    <col min="7925" max="7928" width="12.33203125" customWidth="1"/>
    <col min="7929" max="7930" width="0" hidden="1" customWidth="1"/>
    <col min="7931" max="7932" width="12.33203125" customWidth="1"/>
    <col min="7933" max="7938" width="11.33203125" customWidth="1"/>
    <col min="7940" max="7940" width="11.88671875" customWidth="1"/>
    <col min="8179" max="8179" width="6" customWidth="1"/>
    <col min="8180" max="8180" width="32.109375" customWidth="1"/>
    <col min="8181" max="8184" width="12.33203125" customWidth="1"/>
    <col min="8185" max="8186" width="0" hidden="1" customWidth="1"/>
    <col min="8187" max="8188" width="12.33203125" customWidth="1"/>
    <col min="8189" max="8194" width="11.33203125" customWidth="1"/>
    <col min="8196" max="8196" width="11.88671875" customWidth="1"/>
    <col min="8435" max="8435" width="6" customWidth="1"/>
    <col min="8436" max="8436" width="32.109375" customWidth="1"/>
    <col min="8437" max="8440" width="12.33203125" customWidth="1"/>
    <col min="8441" max="8442" width="0" hidden="1" customWidth="1"/>
    <col min="8443" max="8444" width="12.33203125" customWidth="1"/>
    <col min="8445" max="8450" width="11.33203125" customWidth="1"/>
    <col min="8452" max="8452" width="11.88671875" customWidth="1"/>
    <col min="8691" max="8691" width="6" customWidth="1"/>
    <col min="8692" max="8692" width="32.109375" customWidth="1"/>
    <col min="8693" max="8696" width="12.33203125" customWidth="1"/>
    <col min="8697" max="8698" width="0" hidden="1" customWidth="1"/>
    <col min="8699" max="8700" width="12.33203125" customWidth="1"/>
    <col min="8701" max="8706" width="11.33203125" customWidth="1"/>
    <col min="8708" max="8708" width="11.88671875" customWidth="1"/>
    <col min="8947" max="8947" width="6" customWidth="1"/>
    <col min="8948" max="8948" width="32.109375" customWidth="1"/>
    <col min="8949" max="8952" width="12.33203125" customWidth="1"/>
    <col min="8953" max="8954" width="0" hidden="1" customWidth="1"/>
    <col min="8955" max="8956" width="12.33203125" customWidth="1"/>
    <col min="8957" max="8962" width="11.33203125" customWidth="1"/>
    <col min="8964" max="8964" width="11.88671875" customWidth="1"/>
    <col min="9203" max="9203" width="6" customWidth="1"/>
    <col min="9204" max="9204" width="32.109375" customWidth="1"/>
    <col min="9205" max="9208" width="12.33203125" customWidth="1"/>
    <col min="9209" max="9210" width="0" hidden="1" customWidth="1"/>
    <col min="9211" max="9212" width="12.33203125" customWidth="1"/>
    <col min="9213" max="9218" width="11.33203125" customWidth="1"/>
    <col min="9220" max="9220" width="11.88671875" customWidth="1"/>
    <col min="9459" max="9459" width="6" customWidth="1"/>
    <col min="9460" max="9460" width="32.109375" customWidth="1"/>
    <col min="9461" max="9464" width="12.33203125" customWidth="1"/>
    <col min="9465" max="9466" width="0" hidden="1" customWidth="1"/>
    <col min="9467" max="9468" width="12.33203125" customWidth="1"/>
    <col min="9469" max="9474" width="11.33203125" customWidth="1"/>
    <col min="9476" max="9476" width="11.88671875" customWidth="1"/>
    <col min="9715" max="9715" width="6" customWidth="1"/>
    <col min="9716" max="9716" width="32.109375" customWidth="1"/>
    <col min="9717" max="9720" width="12.33203125" customWidth="1"/>
    <col min="9721" max="9722" width="0" hidden="1" customWidth="1"/>
    <col min="9723" max="9724" width="12.33203125" customWidth="1"/>
    <col min="9725" max="9730" width="11.33203125" customWidth="1"/>
    <col min="9732" max="9732" width="11.88671875" customWidth="1"/>
    <col min="9971" max="9971" width="6" customWidth="1"/>
    <col min="9972" max="9972" width="32.109375" customWidth="1"/>
    <col min="9973" max="9976" width="12.33203125" customWidth="1"/>
    <col min="9977" max="9978" width="0" hidden="1" customWidth="1"/>
    <col min="9979" max="9980" width="12.33203125" customWidth="1"/>
    <col min="9981" max="9986" width="11.33203125" customWidth="1"/>
    <col min="9988" max="9988" width="11.88671875" customWidth="1"/>
    <col min="10227" max="10227" width="6" customWidth="1"/>
    <col min="10228" max="10228" width="32.109375" customWidth="1"/>
    <col min="10229" max="10232" width="12.33203125" customWidth="1"/>
    <col min="10233" max="10234" width="0" hidden="1" customWidth="1"/>
    <col min="10235" max="10236" width="12.33203125" customWidth="1"/>
    <col min="10237" max="10242" width="11.33203125" customWidth="1"/>
    <col min="10244" max="10244" width="11.88671875" customWidth="1"/>
    <col min="10483" max="10483" width="6" customWidth="1"/>
    <col min="10484" max="10484" width="32.109375" customWidth="1"/>
    <col min="10485" max="10488" width="12.33203125" customWidth="1"/>
    <col min="10489" max="10490" width="0" hidden="1" customWidth="1"/>
    <col min="10491" max="10492" width="12.33203125" customWidth="1"/>
    <col min="10493" max="10498" width="11.33203125" customWidth="1"/>
    <col min="10500" max="10500" width="11.88671875" customWidth="1"/>
    <col min="10739" max="10739" width="6" customWidth="1"/>
    <col min="10740" max="10740" width="32.109375" customWidth="1"/>
    <col min="10741" max="10744" width="12.33203125" customWidth="1"/>
    <col min="10745" max="10746" width="0" hidden="1" customWidth="1"/>
    <col min="10747" max="10748" width="12.33203125" customWidth="1"/>
    <col min="10749" max="10754" width="11.33203125" customWidth="1"/>
    <col min="10756" max="10756" width="11.88671875" customWidth="1"/>
    <col min="10995" max="10995" width="6" customWidth="1"/>
    <col min="10996" max="10996" width="32.109375" customWidth="1"/>
    <col min="10997" max="11000" width="12.33203125" customWidth="1"/>
    <col min="11001" max="11002" width="0" hidden="1" customWidth="1"/>
    <col min="11003" max="11004" width="12.33203125" customWidth="1"/>
    <col min="11005" max="11010" width="11.33203125" customWidth="1"/>
    <col min="11012" max="11012" width="11.88671875" customWidth="1"/>
    <col min="11251" max="11251" width="6" customWidth="1"/>
    <col min="11252" max="11252" width="32.109375" customWidth="1"/>
    <col min="11253" max="11256" width="12.33203125" customWidth="1"/>
    <col min="11257" max="11258" width="0" hidden="1" customWidth="1"/>
    <col min="11259" max="11260" width="12.33203125" customWidth="1"/>
    <col min="11261" max="11266" width="11.33203125" customWidth="1"/>
    <col min="11268" max="11268" width="11.88671875" customWidth="1"/>
    <col min="11507" max="11507" width="6" customWidth="1"/>
    <col min="11508" max="11508" width="32.109375" customWidth="1"/>
    <col min="11509" max="11512" width="12.33203125" customWidth="1"/>
    <col min="11513" max="11514" width="0" hidden="1" customWidth="1"/>
    <col min="11515" max="11516" width="12.33203125" customWidth="1"/>
    <col min="11517" max="11522" width="11.33203125" customWidth="1"/>
    <col min="11524" max="11524" width="11.88671875" customWidth="1"/>
    <col min="11763" max="11763" width="6" customWidth="1"/>
    <col min="11764" max="11764" width="32.109375" customWidth="1"/>
    <col min="11765" max="11768" width="12.33203125" customWidth="1"/>
    <col min="11769" max="11770" width="0" hidden="1" customWidth="1"/>
    <col min="11771" max="11772" width="12.33203125" customWidth="1"/>
    <col min="11773" max="11778" width="11.33203125" customWidth="1"/>
    <col min="11780" max="11780" width="11.88671875" customWidth="1"/>
    <col min="12019" max="12019" width="6" customWidth="1"/>
    <col min="12020" max="12020" width="32.109375" customWidth="1"/>
    <col min="12021" max="12024" width="12.33203125" customWidth="1"/>
    <col min="12025" max="12026" width="0" hidden="1" customWidth="1"/>
    <col min="12027" max="12028" width="12.33203125" customWidth="1"/>
    <col min="12029" max="12034" width="11.33203125" customWidth="1"/>
    <col min="12036" max="12036" width="11.88671875" customWidth="1"/>
    <col min="12275" max="12275" width="6" customWidth="1"/>
    <col min="12276" max="12276" width="32.109375" customWidth="1"/>
    <col min="12277" max="12280" width="12.33203125" customWidth="1"/>
    <col min="12281" max="12282" width="0" hidden="1" customWidth="1"/>
    <col min="12283" max="12284" width="12.33203125" customWidth="1"/>
    <col min="12285" max="12290" width="11.33203125" customWidth="1"/>
    <col min="12292" max="12292" width="11.88671875" customWidth="1"/>
    <col min="12531" max="12531" width="6" customWidth="1"/>
    <col min="12532" max="12532" width="32.109375" customWidth="1"/>
    <col min="12533" max="12536" width="12.33203125" customWidth="1"/>
    <col min="12537" max="12538" width="0" hidden="1" customWidth="1"/>
    <col min="12539" max="12540" width="12.33203125" customWidth="1"/>
    <col min="12541" max="12546" width="11.33203125" customWidth="1"/>
    <col min="12548" max="12548" width="11.88671875" customWidth="1"/>
    <col min="12787" max="12787" width="6" customWidth="1"/>
    <col min="12788" max="12788" width="32.109375" customWidth="1"/>
    <col min="12789" max="12792" width="12.33203125" customWidth="1"/>
    <col min="12793" max="12794" width="0" hidden="1" customWidth="1"/>
    <col min="12795" max="12796" width="12.33203125" customWidth="1"/>
    <col min="12797" max="12802" width="11.33203125" customWidth="1"/>
    <col min="12804" max="12804" width="11.88671875" customWidth="1"/>
    <col min="13043" max="13043" width="6" customWidth="1"/>
    <col min="13044" max="13044" width="32.109375" customWidth="1"/>
    <col min="13045" max="13048" width="12.33203125" customWidth="1"/>
    <col min="13049" max="13050" width="0" hidden="1" customWidth="1"/>
    <col min="13051" max="13052" width="12.33203125" customWidth="1"/>
    <col min="13053" max="13058" width="11.33203125" customWidth="1"/>
    <col min="13060" max="13060" width="11.88671875" customWidth="1"/>
    <col min="13299" max="13299" width="6" customWidth="1"/>
    <col min="13300" max="13300" width="32.109375" customWidth="1"/>
    <col min="13301" max="13304" width="12.33203125" customWidth="1"/>
    <col min="13305" max="13306" width="0" hidden="1" customWidth="1"/>
    <col min="13307" max="13308" width="12.33203125" customWidth="1"/>
    <col min="13309" max="13314" width="11.33203125" customWidth="1"/>
    <col min="13316" max="13316" width="11.88671875" customWidth="1"/>
    <col min="13555" max="13555" width="6" customWidth="1"/>
    <col min="13556" max="13556" width="32.109375" customWidth="1"/>
    <col min="13557" max="13560" width="12.33203125" customWidth="1"/>
    <col min="13561" max="13562" width="0" hidden="1" customWidth="1"/>
    <col min="13563" max="13564" width="12.33203125" customWidth="1"/>
    <col min="13565" max="13570" width="11.33203125" customWidth="1"/>
    <col min="13572" max="13572" width="11.88671875" customWidth="1"/>
    <col min="13811" max="13811" width="6" customWidth="1"/>
    <col min="13812" max="13812" width="32.109375" customWidth="1"/>
    <col min="13813" max="13816" width="12.33203125" customWidth="1"/>
    <col min="13817" max="13818" width="0" hidden="1" customWidth="1"/>
    <col min="13819" max="13820" width="12.33203125" customWidth="1"/>
    <col min="13821" max="13826" width="11.33203125" customWidth="1"/>
    <col min="13828" max="13828" width="11.88671875" customWidth="1"/>
    <col min="14067" max="14067" width="6" customWidth="1"/>
    <col min="14068" max="14068" width="32.109375" customWidth="1"/>
    <col min="14069" max="14072" width="12.33203125" customWidth="1"/>
    <col min="14073" max="14074" width="0" hidden="1" customWidth="1"/>
    <col min="14075" max="14076" width="12.33203125" customWidth="1"/>
    <col min="14077" max="14082" width="11.33203125" customWidth="1"/>
    <col min="14084" max="14084" width="11.88671875" customWidth="1"/>
    <col min="14323" max="14323" width="6" customWidth="1"/>
    <col min="14324" max="14324" width="32.109375" customWidth="1"/>
    <col min="14325" max="14328" width="12.33203125" customWidth="1"/>
    <col min="14329" max="14330" width="0" hidden="1" customWidth="1"/>
    <col min="14331" max="14332" width="12.33203125" customWidth="1"/>
    <col min="14333" max="14338" width="11.33203125" customWidth="1"/>
    <col min="14340" max="14340" width="11.88671875" customWidth="1"/>
    <col min="14579" max="14579" width="6" customWidth="1"/>
    <col min="14580" max="14580" width="32.109375" customWidth="1"/>
    <col min="14581" max="14584" width="12.33203125" customWidth="1"/>
    <col min="14585" max="14586" width="0" hidden="1" customWidth="1"/>
    <col min="14587" max="14588" width="12.33203125" customWidth="1"/>
    <col min="14589" max="14594" width="11.33203125" customWidth="1"/>
    <col min="14596" max="14596" width="11.88671875" customWidth="1"/>
    <col min="14835" max="14835" width="6" customWidth="1"/>
    <col min="14836" max="14836" width="32.109375" customWidth="1"/>
    <col min="14837" max="14840" width="12.33203125" customWidth="1"/>
    <col min="14841" max="14842" width="0" hidden="1" customWidth="1"/>
    <col min="14843" max="14844" width="12.33203125" customWidth="1"/>
    <col min="14845" max="14850" width="11.33203125" customWidth="1"/>
    <col min="14852" max="14852" width="11.88671875" customWidth="1"/>
    <col min="15091" max="15091" width="6" customWidth="1"/>
    <col min="15092" max="15092" width="32.109375" customWidth="1"/>
    <col min="15093" max="15096" width="12.33203125" customWidth="1"/>
    <col min="15097" max="15098" width="0" hidden="1" customWidth="1"/>
    <col min="15099" max="15100" width="12.33203125" customWidth="1"/>
    <col min="15101" max="15106" width="11.33203125" customWidth="1"/>
    <col min="15108" max="15108" width="11.88671875" customWidth="1"/>
    <col min="15347" max="15347" width="6" customWidth="1"/>
    <col min="15348" max="15348" width="32.109375" customWidth="1"/>
    <col min="15349" max="15352" width="12.33203125" customWidth="1"/>
    <col min="15353" max="15354" width="0" hidden="1" customWidth="1"/>
    <col min="15355" max="15356" width="12.33203125" customWidth="1"/>
    <col min="15357" max="15362" width="11.33203125" customWidth="1"/>
    <col min="15364" max="15364" width="11.88671875" customWidth="1"/>
    <col min="15603" max="15603" width="6" customWidth="1"/>
    <col min="15604" max="15604" width="32.109375" customWidth="1"/>
    <col min="15605" max="15608" width="12.33203125" customWidth="1"/>
    <col min="15609" max="15610" width="0" hidden="1" customWidth="1"/>
    <col min="15611" max="15612" width="12.33203125" customWidth="1"/>
    <col min="15613" max="15618" width="11.33203125" customWidth="1"/>
    <col min="15620" max="15620" width="11.88671875" customWidth="1"/>
    <col min="15859" max="15859" width="6" customWidth="1"/>
    <col min="15860" max="15860" width="32.109375" customWidth="1"/>
    <col min="15861" max="15864" width="12.33203125" customWidth="1"/>
    <col min="15865" max="15866" width="0" hidden="1" customWidth="1"/>
    <col min="15867" max="15868" width="12.33203125" customWidth="1"/>
    <col min="15869" max="15874" width="11.33203125" customWidth="1"/>
    <col min="15876" max="15876" width="11.88671875" customWidth="1"/>
    <col min="16115" max="16115" width="6" customWidth="1"/>
    <col min="16116" max="16116" width="32.109375" customWidth="1"/>
    <col min="16117" max="16120" width="12.33203125" customWidth="1"/>
    <col min="16121" max="16122" width="0" hidden="1" customWidth="1"/>
    <col min="16123" max="16124" width="12.33203125" customWidth="1"/>
    <col min="16125" max="16130" width="11.33203125" customWidth="1"/>
    <col min="16132" max="16132" width="11.88671875" customWidth="1"/>
  </cols>
  <sheetData>
    <row r="1" spans="1:25" ht="15.6">
      <c r="A1" s="886" t="s">
        <v>1889</v>
      </c>
      <c r="B1" s="886"/>
      <c r="C1" s="886"/>
      <c r="D1" s="886"/>
      <c r="E1" s="886"/>
      <c r="F1" s="886"/>
      <c r="G1" s="886"/>
    </row>
    <row r="2" spans="1:25" ht="17.399999999999999">
      <c r="A2" s="887" t="s">
        <v>1872</v>
      </c>
      <c r="B2" s="887"/>
      <c r="C2" s="887"/>
      <c r="D2" s="887"/>
      <c r="E2" s="887"/>
      <c r="F2" s="887"/>
      <c r="G2" s="887"/>
      <c r="H2" s="264"/>
      <c r="I2" s="277" t="s">
        <v>1628</v>
      </c>
      <c r="J2" s="259" t="s">
        <v>1629</v>
      </c>
      <c r="K2" s="267"/>
    </row>
    <row r="3" spans="1:25" ht="18">
      <c r="A3" s="889" t="str">
        <f>PL1.KH25!A3</f>
        <v>(Kèm theo Nghị quyết số 24/NQ-HĐND  ngày 22 tháng 8 năm 2025 của HĐND tỉnh Quảng Ngãi)</v>
      </c>
      <c r="B3" s="889"/>
      <c r="C3" s="889"/>
      <c r="D3" s="889"/>
      <c r="E3" s="889"/>
      <c r="F3" s="889"/>
      <c r="G3" s="889"/>
      <c r="H3" s="264"/>
      <c r="I3" s="277"/>
      <c r="J3" s="259"/>
      <c r="K3" s="267"/>
    </row>
    <row r="4" spans="1:25" ht="18">
      <c r="A4" s="719"/>
      <c r="B4" s="719"/>
      <c r="C4" s="719"/>
      <c r="D4" s="719"/>
      <c r="E4" s="719"/>
      <c r="F4" s="719"/>
      <c r="G4" s="719"/>
      <c r="H4" s="264"/>
      <c r="I4" s="277"/>
      <c r="J4" s="259"/>
      <c r="K4" s="267"/>
    </row>
    <row r="5" spans="1:25" ht="17.399999999999999" customHeight="1">
      <c r="G5" s="721" t="s">
        <v>1580</v>
      </c>
      <c r="H5" s="249"/>
      <c r="I5" s="259"/>
      <c r="J5" s="259"/>
      <c r="M5" t="e">
        <f>C10/D10</f>
        <v>#REF!</v>
      </c>
    </row>
    <row r="6" spans="1:25" ht="26.4" customHeight="1">
      <c r="A6" s="888" t="s">
        <v>361</v>
      </c>
      <c r="B6" s="888" t="s">
        <v>362</v>
      </c>
      <c r="C6" s="888" t="s">
        <v>375</v>
      </c>
      <c r="D6" s="888" t="s">
        <v>363</v>
      </c>
      <c r="E6" s="888" t="s">
        <v>364</v>
      </c>
      <c r="F6" s="888" t="s">
        <v>1878</v>
      </c>
      <c r="G6" s="888" t="s">
        <v>16</v>
      </c>
      <c r="H6" s="265"/>
      <c r="I6" s="271">
        <f>SUM(I8:I10)</f>
        <v>4565500</v>
      </c>
      <c r="J6" s="268">
        <f>SUM(J8:J14)</f>
        <v>4796093</v>
      </c>
      <c r="K6" s="269"/>
      <c r="P6" s="19" t="e">
        <f>D10-F11-F16-F18-F19-#REF!-F15</f>
        <v>#REF!</v>
      </c>
    </row>
    <row r="7" spans="1:25" ht="25.5" customHeight="1">
      <c r="A7" s="888"/>
      <c r="B7" s="888"/>
      <c r="C7" s="888"/>
      <c r="D7" s="888"/>
      <c r="E7" s="888"/>
      <c r="F7" s="888"/>
      <c r="G7" s="888"/>
      <c r="H7" s="266"/>
      <c r="I7" s="262"/>
      <c r="J7" s="262"/>
      <c r="K7" s="269"/>
      <c r="R7" s="250">
        <f>SUM(R8:R11)</f>
        <v>4587001</v>
      </c>
      <c r="S7" s="19"/>
      <c r="T7" s="259" t="s">
        <v>1861</v>
      </c>
      <c r="Y7" s="250">
        <v>4587001</v>
      </c>
    </row>
    <row r="8" spans="1:25" s="17" customFormat="1" ht="22.65" customHeight="1">
      <c r="A8" s="718">
        <v>1</v>
      </c>
      <c r="B8" s="718">
        <v>2</v>
      </c>
      <c r="C8" s="730">
        <v>3</v>
      </c>
      <c r="D8" s="730">
        <v>4</v>
      </c>
      <c r="E8" s="730" t="s">
        <v>376</v>
      </c>
      <c r="F8" s="730">
        <v>3</v>
      </c>
      <c r="G8" s="730">
        <v>4</v>
      </c>
      <c r="H8" s="273"/>
      <c r="I8" s="272">
        <v>3107000</v>
      </c>
      <c r="J8" s="263">
        <v>3107592</v>
      </c>
      <c r="K8" s="270">
        <f>J8*0.3</f>
        <v>932277.6</v>
      </c>
      <c r="R8" s="17">
        <v>3107000</v>
      </c>
    </row>
    <row r="9" spans="1:25" ht="27.75" customHeight="1">
      <c r="A9" s="434"/>
      <c r="B9" s="434" t="s">
        <v>365</v>
      </c>
      <c r="C9" s="726" t="e">
        <f>C10+C21+C30</f>
        <v>#REF!</v>
      </c>
      <c r="D9" s="726"/>
      <c r="E9" s="726"/>
      <c r="F9" s="726">
        <f>F10+F21</f>
        <v>7199570.4523</v>
      </c>
      <c r="G9" s="726"/>
      <c r="H9" s="723"/>
      <c r="I9" s="262">
        <v>1181500</v>
      </c>
      <c r="J9" s="261">
        <v>277000</v>
      </c>
      <c r="K9" s="269"/>
      <c r="R9">
        <v>1181500</v>
      </c>
      <c r="W9" s="250"/>
    </row>
    <row r="10" spans="1:25" ht="24.75" customHeight="1">
      <c r="A10" s="437" t="s">
        <v>39</v>
      </c>
      <c r="B10" s="443" t="s">
        <v>366</v>
      </c>
      <c r="C10" s="438" t="e">
        <f>C11+C14+C16+C18+C19+#REF!+C15</f>
        <v>#REF!</v>
      </c>
      <c r="D10" s="438">
        <v>4587000</v>
      </c>
      <c r="E10" s="438" t="e">
        <f>C10-D10</f>
        <v>#REF!</v>
      </c>
      <c r="F10" s="438">
        <f>F11+F12</f>
        <v>4587001.4523</v>
      </c>
      <c r="G10" s="438"/>
      <c r="H10" s="724"/>
      <c r="I10" s="262">
        <v>277000</v>
      </c>
      <c r="J10" s="261">
        <v>1390000</v>
      </c>
      <c r="K10" s="269"/>
      <c r="L10" s="34" t="e">
        <f>L11+L14+L16+L18+L19+#REF!+L15</f>
        <v>#REF!</v>
      </c>
      <c r="R10">
        <v>277000</v>
      </c>
      <c r="U10" s="19"/>
      <c r="X10" s="731">
        <v>4587</v>
      </c>
      <c r="Y10" s="19">
        <f>Y7-F10</f>
        <v>-0.45230000000447035</v>
      </c>
    </row>
    <row r="11" spans="1:25" s="32" customFormat="1" ht="20.25" customHeight="1">
      <c r="A11" s="435">
        <v>1</v>
      </c>
      <c r="B11" s="732" t="s">
        <v>1579</v>
      </c>
      <c r="C11" s="436">
        <v>1578052.057766</v>
      </c>
      <c r="D11" s="436"/>
      <c r="E11" s="436"/>
      <c r="F11" s="744">
        <v>931200</v>
      </c>
      <c r="G11" s="722"/>
      <c r="H11" s="733"/>
      <c r="I11" s="734">
        <f>D10*0.3</f>
        <v>1376100</v>
      </c>
      <c r="J11" s="734"/>
      <c r="L11" s="735">
        <v>932277.6</v>
      </c>
      <c r="R11" s="32">
        <v>21501</v>
      </c>
      <c r="W11" s="31"/>
    </row>
    <row r="12" spans="1:25" s="32" customFormat="1" ht="15.6">
      <c r="A12" s="435">
        <v>2</v>
      </c>
      <c r="B12" s="732" t="s">
        <v>1869</v>
      </c>
      <c r="C12" s="436"/>
      <c r="D12" s="436"/>
      <c r="E12" s="436"/>
      <c r="F12" s="744">
        <f>F13+F14+F15+F16+F17+F18+F19+F20</f>
        <v>3655801.4523</v>
      </c>
      <c r="G12" s="722"/>
      <c r="H12" s="736"/>
      <c r="I12" s="31"/>
      <c r="J12" s="31"/>
      <c r="L12" s="260"/>
      <c r="W12" s="31"/>
    </row>
    <row r="13" spans="1:25" ht="15.6">
      <c r="A13" s="439" t="s">
        <v>1678</v>
      </c>
      <c r="B13" s="440" t="s">
        <v>1871</v>
      </c>
      <c r="C13" s="441"/>
      <c r="D13" s="441"/>
      <c r="E13" s="441"/>
      <c r="F13" s="441">
        <v>20000</v>
      </c>
      <c r="G13" s="442"/>
      <c r="H13" s="274"/>
      <c r="I13" s="19"/>
      <c r="J13" s="19"/>
      <c r="L13" s="720"/>
      <c r="W13" s="19"/>
    </row>
    <row r="14" spans="1:25" ht="20.25" customHeight="1">
      <c r="A14" s="439" t="s">
        <v>1679</v>
      </c>
      <c r="B14" s="440" t="s">
        <v>367</v>
      </c>
      <c r="C14" s="441">
        <v>7723706.7215999998</v>
      </c>
      <c r="D14" s="436"/>
      <c r="E14" s="436"/>
      <c r="F14" s="441">
        <f>'PL3.NSDP-CT'!Y10</f>
        <v>2898315.4523</v>
      </c>
      <c r="G14" s="442"/>
      <c r="H14" s="260"/>
      <c r="I14" s="19"/>
      <c r="J14" s="19">
        <v>21501</v>
      </c>
      <c r="L14">
        <v>2585000</v>
      </c>
      <c r="S14" s="19"/>
      <c r="T14" s="390">
        <f>'PL3.NSDP-CT'!Y10</f>
        <v>2898315.4523</v>
      </c>
      <c r="U14" s="390"/>
      <c r="V14" s="390">
        <f>F14-T14</f>
        <v>0</v>
      </c>
      <c r="Y14" s="19">
        <f>F14+Y10</f>
        <v>2898315</v>
      </c>
    </row>
    <row r="15" spans="1:25" ht="21" customHeight="1">
      <c r="A15" s="439" t="s">
        <v>1870</v>
      </c>
      <c r="B15" s="440" t="s">
        <v>1873</v>
      </c>
      <c r="C15" s="441">
        <v>408804</v>
      </c>
      <c r="D15" s="441"/>
      <c r="E15" s="436"/>
      <c r="F15" s="441">
        <v>408804</v>
      </c>
      <c r="G15" s="442"/>
      <c r="H15" s="274"/>
      <c r="I15" s="19"/>
      <c r="J15">
        <v>2132800</v>
      </c>
      <c r="L15" s="33">
        <v>200000</v>
      </c>
      <c r="M15" s="251">
        <f>SUM(M16:M19)</f>
        <v>1578052.057766</v>
      </c>
      <c r="T15" s="390">
        <f>'8.CTMTQG'!AU14</f>
        <v>408804</v>
      </c>
      <c r="U15" s="390"/>
      <c r="V15" s="390">
        <f>F15-T15</f>
        <v>0</v>
      </c>
    </row>
    <row r="16" spans="1:25" ht="20.25" customHeight="1">
      <c r="A16" s="439" t="s">
        <v>1874</v>
      </c>
      <c r="B16" s="440" t="s">
        <v>368</v>
      </c>
      <c r="C16" s="441">
        <v>38000</v>
      </c>
      <c r="D16" s="441"/>
      <c r="E16" s="436"/>
      <c r="F16" s="441">
        <f>'9.ODA'!AM14</f>
        <v>30181</v>
      </c>
      <c r="G16" s="442"/>
      <c r="H16" s="725"/>
      <c r="I16" s="18"/>
      <c r="K16" s="19"/>
      <c r="L16" s="33">
        <v>38000</v>
      </c>
      <c r="M16" s="250">
        <v>703852.05776600004</v>
      </c>
      <c r="N16" s="250">
        <v>468785.99999999994</v>
      </c>
      <c r="O16" s="250">
        <v>468786</v>
      </c>
      <c r="P16" s="250">
        <v>235066.05776600001</v>
      </c>
      <c r="T16" s="390">
        <f>'9.ODA'!AM14</f>
        <v>30181</v>
      </c>
      <c r="U16" s="390"/>
      <c r="V16" s="390">
        <f t="shared" ref="V16:V19" si="0">F16-T16</f>
        <v>0</v>
      </c>
    </row>
    <row r="17" spans="1:22" ht="31.2">
      <c r="A17" s="439" t="s">
        <v>1875</v>
      </c>
      <c r="B17" s="440" t="s">
        <v>1776</v>
      </c>
      <c r="C17" s="441"/>
      <c r="D17" s="441"/>
      <c r="E17" s="436"/>
      <c r="F17" s="441">
        <f>PL5.NV!L10</f>
        <v>105000</v>
      </c>
      <c r="G17" s="442"/>
      <c r="H17" s="260"/>
      <c r="I17" s="260"/>
      <c r="K17" s="19"/>
      <c r="L17" s="720"/>
      <c r="M17" s="250"/>
      <c r="N17" s="250"/>
      <c r="O17" s="250"/>
      <c r="P17" s="250"/>
      <c r="T17" s="390"/>
      <c r="U17" s="390"/>
      <c r="V17" s="390"/>
    </row>
    <row r="18" spans="1:22" ht="20.25" customHeight="1">
      <c r="A18" s="439" t="s">
        <v>1876</v>
      </c>
      <c r="B18" s="440" t="s">
        <v>1581</v>
      </c>
      <c r="C18" s="441">
        <f>40000+10000</f>
        <v>50000</v>
      </c>
      <c r="D18" s="441"/>
      <c r="E18" s="436"/>
      <c r="F18" s="441">
        <v>10000</v>
      </c>
      <c r="G18" s="436"/>
      <c r="H18" s="260"/>
      <c r="I18" s="260"/>
      <c r="K18" s="19" t="e">
        <f>D10-#REF!</f>
        <v>#REF!</v>
      </c>
      <c r="L18">
        <v>30000</v>
      </c>
      <c r="M18" s="250"/>
      <c r="N18" s="250"/>
      <c r="O18" s="250"/>
      <c r="P18" s="250"/>
      <c r="S18" s="19"/>
      <c r="T18" s="390"/>
      <c r="U18" s="390"/>
      <c r="V18" s="390"/>
    </row>
    <row r="19" spans="1:22" ht="20.25" customHeight="1">
      <c r="A19" s="439" t="s">
        <v>1877</v>
      </c>
      <c r="B19" s="440" t="s">
        <v>369</v>
      </c>
      <c r="C19" s="441">
        <v>1993820.2</v>
      </c>
      <c r="D19" s="441"/>
      <c r="E19" s="436"/>
      <c r="F19" s="441">
        <f>'PL4.NSDP-KCM'!V11</f>
        <v>162000</v>
      </c>
      <c r="G19" s="442"/>
      <c r="H19" s="260"/>
      <c r="I19" s="717" t="s">
        <v>1625</v>
      </c>
      <c r="L19" s="19" t="e">
        <f>D10-L11-L14-L16-L18-#REF!-L15</f>
        <v>#REF!</v>
      </c>
      <c r="M19" s="250">
        <v>874200</v>
      </c>
      <c r="N19" s="250">
        <v>443000</v>
      </c>
      <c r="O19" s="250">
        <v>443000</v>
      </c>
      <c r="P19" s="250">
        <v>431200</v>
      </c>
      <c r="T19" s="390" t="e">
        <f>#REF!</f>
        <v>#REF!</v>
      </c>
      <c r="U19" s="390"/>
      <c r="V19" s="390" t="e">
        <f t="shared" si="0"/>
        <v>#REF!</v>
      </c>
    </row>
    <row r="20" spans="1:22" ht="20.25" customHeight="1">
      <c r="A20" s="439" t="s">
        <v>1883</v>
      </c>
      <c r="B20" s="440" t="s">
        <v>1884</v>
      </c>
      <c r="C20" s="441"/>
      <c r="D20" s="441"/>
      <c r="E20" s="436"/>
      <c r="F20" s="441">
        <v>21501</v>
      </c>
      <c r="G20" s="442"/>
      <c r="H20" s="260"/>
      <c r="I20" s="717"/>
      <c r="L20" s="19"/>
      <c r="M20" s="250"/>
      <c r="N20" s="250"/>
      <c r="O20" s="250"/>
      <c r="P20" s="250"/>
      <c r="T20" s="390"/>
      <c r="U20" s="390"/>
      <c r="V20" s="390"/>
    </row>
    <row r="21" spans="1:22" s="32" customFormat="1" ht="26.4" customHeight="1">
      <c r="A21" s="437" t="s">
        <v>124</v>
      </c>
      <c r="B21" s="443" t="s">
        <v>1795</v>
      </c>
      <c r="C21" s="438">
        <f>C23+C26</f>
        <v>2537401</v>
      </c>
      <c r="D21" s="438">
        <f>D23+D26</f>
        <v>0</v>
      </c>
      <c r="E21" s="438">
        <f>E23+E26</f>
        <v>0</v>
      </c>
      <c r="F21" s="438">
        <f>F22+F30</f>
        <v>2612569</v>
      </c>
      <c r="G21" s="444"/>
      <c r="H21" s="275"/>
      <c r="I21" s="31"/>
    </row>
    <row r="22" spans="1:22" s="32" customFormat="1" ht="26.4" customHeight="1">
      <c r="A22" s="437" t="s">
        <v>1660</v>
      </c>
      <c r="B22" s="443" t="s">
        <v>1665</v>
      </c>
      <c r="C22" s="438"/>
      <c r="D22" s="438"/>
      <c r="E22" s="438"/>
      <c r="F22" s="438">
        <f>F23+F26</f>
        <v>2537401</v>
      </c>
      <c r="G22" s="444"/>
      <c r="H22" s="275"/>
      <c r="I22" s="31"/>
    </row>
    <row r="23" spans="1:22" s="738" customFormat="1" ht="15.6">
      <c r="A23" s="435">
        <v>1</v>
      </c>
      <c r="B23" s="732" t="s">
        <v>1879</v>
      </c>
      <c r="C23" s="436">
        <f>C24+C25</f>
        <v>1600000</v>
      </c>
      <c r="D23" s="436"/>
      <c r="E23" s="436"/>
      <c r="F23" s="436">
        <f>F24+F25</f>
        <v>1600000</v>
      </c>
      <c r="G23" s="722"/>
      <c r="H23" s="736"/>
      <c r="I23" s="737"/>
    </row>
    <row r="24" spans="1:22" s="121" customFormat="1" ht="21" customHeight="1">
      <c r="A24" s="739" t="s">
        <v>1880</v>
      </c>
      <c r="B24" s="740" t="s">
        <v>367</v>
      </c>
      <c r="C24" s="741">
        <v>696247</v>
      </c>
      <c r="D24" s="741"/>
      <c r="E24" s="741"/>
      <c r="F24" s="741">
        <v>696247</v>
      </c>
      <c r="G24" s="745"/>
      <c r="H24" s="742"/>
      <c r="I24" s="743"/>
      <c r="T24" s="746">
        <f>'PL6.NSTW-CT'!AA12</f>
        <v>696246.98424100014</v>
      </c>
    </row>
    <row r="25" spans="1:22" s="121" customFormat="1" ht="21" customHeight="1">
      <c r="A25" s="739" t="s">
        <v>1881</v>
      </c>
      <c r="B25" s="740" t="s">
        <v>369</v>
      </c>
      <c r="C25" s="747">
        <v>903753</v>
      </c>
      <c r="D25" s="747"/>
      <c r="E25" s="741"/>
      <c r="F25" s="747">
        <v>903753</v>
      </c>
      <c r="G25" s="745"/>
      <c r="H25" s="742"/>
      <c r="I25" s="743"/>
      <c r="T25" s="746">
        <f>'PL7.NSTW-KCM'!V11</f>
        <v>903753</v>
      </c>
    </row>
    <row r="26" spans="1:22" s="32" customFormat="1" ht="25.5" customHeight="1">
      <c r="A26" s="435">
        <v>2</v>
      </c>
      <c r="B26" s="732" t="s">
        <v>370</v>
      </c>
      <c r="C26" s="436">
        <f>SUM(C27:C29)</f>
        <v>937401</v>
      </c>
      <c r="D26" s="436"/>
      <c r="E26" s="436"/>
      <c r="F26" s="436">
        <v>937401</v>
      </c>
      <c r="G26" s="442" t="s">
        <v>1862</v>
      </c>
      <c r="H26" s="736"/>
      <c r="I26" s="31">
        <v>356811</v>
      </c>
    </row>
    <row r="27" spans="1:22" s="121" customFormat="1" ht="21" customHeight="1">
      <c r="A27" s="739" t="s">
        <v>1678</v>
      </c>
      <c r="B27" s="740" t="s">
        <v>372</v>
      </c>
      <c r="C27" s="741">
        <v>180000</v>
      </c>
      <c r="D27" s="741"/>
      <c r="E27" s="741"/>
      <c r="F27" s="741">
        <v>180000</v>
      </c>
      <c r="G27" s="741"/>
      <c r="H27" s="742"/>
      <c r="I27" s="743" t="e">
        <f>#REF!-I26</f>
        <v>#REF!</v>
      </c>
    </row>
    <row r="28" spans="1:22" s="121" customFormat="1" ht="21" customHeight="1">
      <c r="A28" s="739" t="s">
        <v>1679</v>
      </c>
      <c r="B28" s="740" t="s">
        <v>373</v>
      </c>
      <c r="C28" s="741">
        <v>240000</v>
      </c>
      <c r="D28" s="741"/>
      <c r="E28" s="741"/>
      <c r="F28" s="741">
        <v>240000</v>
      </c>
      <c r="G28" s="741"/>
      <c r="H28" s="742"/>
    </row>
    <row r="29" spans="1:22" s="121" customFormat="1" ht="36" customHeight="1">
      <c r="A29" s="739" t="s">
        <v>1870</v>
      </c>
      <c r="B29" s="740" t="s">
        <v>374</v>
      </c>
      <c r="C29" s="741">
        <v>517401</v>
      </c>
      <c r="D29" s="741"/>
      <c r="E29" s="741"/>
      <c r="F29" s="741">
        <v>517401</v>
      </c>
      <c r="G29" s="741"/>
      <c r="H29" s="742"/>
    </row>
    <row r="30" spans="1:22" ht="24.75" customHeight="1">
      <c r="A30" s="437" t="s">
        <v>1661</v>
      </c>
      <c r="B30" s="443" t="s">
        <v>1882</v>
      </c>
      <c r="C30" s="438">
        <v>75168</v>
      </c>
      <c r="D30" s="438"/>
      <c r="E30" s="438"/>
      <c r="F30" s="438">
        <v>75168</v>
      </c>
      <c r="G30" s="438"/>
      <c r="H30" s="276"/>
    </row>
    <row r="31" spans="1:22">
      <c r="A31" s="727"/>
      <c r="B31" s="727"/>
      <c r="C31" s="728"/>
      <c r="D31" s="727"/>
      <c r="E31" s="729"/>
      <c r="F31" s="729"/>
      <c r="G31" s="729"/>
    </row>
    <row r="32" spans="1:22">
      <c r="A32" s="16"/>
      <c r="B32" s="16"/>
      <c r="C32" s="20"/>
      <c r="D32" s="16"/>
    </row>
    <row r="35" spans="9:11" ht="18">
      <c r="I35" s="21"/>
      <c r="K35" s="21"/>
    </row>
  </sheetData>
  <mergeCells count="10">
    <mergeCell ref="A1:G1"/>
    <mergeCell ref="A2:G2"/>
    <mergeCell ref="G6:G7"/>
    <mergeCell ref="F6:F7"/>
    <mergeCell ref="A6:A7"/>
    <mergeCell ref="B6:B7"/>
    <mergeCell ref="C6:C7"/>
    <mergeCell ref="D6:D7"/>
    <mergeCell ref="E6:E7"/>
    <mergeCell ref="A3:G3"/>
  </mergeCells>
  <phoneticPr fontId="85" type="noConversion"/>
  <pageMargins left="0.77" right="0.70866141732283472" top="0.74803149606299213" bottom="0.74803149606299213" header="0.31496062992125984" footer="0.31496062992125984"/>
  <pageSetup paperSize="9" scale="85" orientation="portrait"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W137"/>
  <sheetViews>
    <sheetView topLeftCell="A19" zoomScale="70" zoomScaleNormal="70" zoomScaleSheetLayoutView="80" workbookViewId="0">
      <selection activeCell="B116" sqref="B116"/>
    </sheetView>
  </sheetViews>
  <sheetFormatPr defaultColWidth="9.109375" defaultRowHeight="14.4" outlineLevelRow="1" outlineLevelCol="1"/>
  <cols>
    <col min="1" max="1" width="5" style="278" customWidth="1"/>
    <col min="2" max="2" width="38" style="278" customWidth="1"/>
    <col min="3" max="3" width="18.5546875" style="278" customWidth="1"/>
    <col min="4" max="4" width="6.88671875" style="278" hidden="1" customWidth="1" outlineLevel="1"/>
    <col min="5" max="5" width="16.44140625" style="278" hidden="1" customWidth="1" outlineLevel="1"/>
    <col min="6" max="6" width="9.44140625" style="278" customWidth="1" collapsed="1"/>
    <col min="7" max="7" width="17.33203125" style="278" customWidth="1"/>
    <col min="8" max="8" width="15" style="278" customWidth="1"/>
    <col min="9" max="9" width="13.33203125" style="278" customWidth="1"/>
    <col min="10" max="10" width="12.88671875" style="278" customWidth="1"/>
    <col min="11" max="11" width="9.88671875" style="278" hidden="1" customWidth="1" outlineLevel="1"/>
    <col min="12" max="12" width="12.33203125" style="278" hidden="1" customWidth="1" outlineLevel="1"/>
    <col min="13" max="13" width="11.33203125" style="278" hidden="1" customWidth="1" outlineLevel="1"/>
    <col min="14" max="14" width="10.6640625" style="278" hidden="1" customWidth="1" outlineLevel="1"/>
    <col min="15" max="15" width="13.44140625" style="278" hidden="1" customWidth="1" outlineLevel="1"/>
    <col min="16" max="17" width="11.33203125" style="842" hidden="1" customWidth="1" outlineLevel="1"/>
    <col min="18" max="18" width="11.6640625" style="842" hidden="1" customWidth="1" outlineLevel="1"/>
    <col min="19" max="19" width="14.6640625" style="842" bestFit="1" customWidth="1" collapsed="1"/>
    <col min="20" max="20" width="13.44140625" style="842" bestFit="1" customWidth="1"/>
    <col min="21" max="21" width="12.88671875" style="842" customWidth="1"/>
    <col min="22" max="22" width="14.88671875" style="842" hidden="1" customWidth="1"/>
    <col min="23" max="23" width="14.6640625" style="842" hidden="1" customWidth="1"/>
    <col min="24" max="24" width="14.44140625" style="842" hidden="1" customWidth="1" outlineLevel="1"/>
    <col min="25" max="25" width="13" style="842" customWidth="1" collapsed="1"/>
    <col min="26" max="26" width="14" style="800" customWidth="1"/>
    <col min="27" max="27" width="55.6640625" style="800" hidden="1" customWidth="1" outlineLevel="1"/>
    <col min="28" max="28" width="13.33203125" style="278" hidden="1" customWidth="1" collapsed="1"/>
    <col min="29" max="29" width="27.6640625" style="278" hidden="1" customWidth="1" outlineLevel="1"/>
    <col min="30" max="30" width="13.33203125" style="278" hidden="1" customWidth="1" outlineLevel="1"/>
    <col min="31" max="31" width="21.109375" style="278" hidden="1" customWidth="1" outlineLevel="1"/>
    <col min="32" max="32" width="17.33203125" style="278" hidden="1" customWidth="1" outlineLevel="1"/>
    <col min="33" max="33" width="13.33203125" style="278" hidden="1" customWidth="1" outlineLevel="1"/>
    <col min="34" max="34" width="13.6640625" style="278" hidden="1" customWidth="1" outlineLevel="1"/>
    <col min="35" max="35" width="12.109375" style="278" hidden="1" customWidth="1" outlineLevel="1"/>
    <col min="36" max="36" width="9.6640625" style="278" hidden="1" customWidth="1" outlineLevel="1"/>
    <col min="37" max="37" width="10.5546875" style="278" hidden="1" customWidth="1" outlineLevel="1"/>
    <col min="38" max="38" width="14.6640625" style="278" hidden="1" customWidth="1" outlineLevel="1"/>
    <col min="39" max="39" width="12.6640625" style="278" hidden="1" customWidth="1" outlineLevel="1"/>
    <col min="40" max="40" width="11.5546875" style="278" hidden="1" customWidth="1" outlineLevel="1"/>
    <col min="41" max="41" width="9.109375" style="278" hidden="1" customWidth="1" outlineLevel="1"/>
    <col min="42" max="42" width="25.6640625" style="278" hidden="1" customWidth="1" outlineLevel="1"/>
    <col min="43" max="43" width="12.33203125" style="278" hidden="1" customWidth="1" outlineLevel="1"/>
    <col min="44" max="44" width="10.109375" style="278" hidden="1" customWidth="1" outlineLevel="1"/>
    <col min="45" max="45" width="0.5546875" style="278" hidden="1" customWidth="1" outlineLevel="1"/>
    <col min="46" max="46" width="12.44140625" style="278" hidden="1" customWidth="1" collapsed="1"/>
    <col min="47" max="47" width="13" style="278" hidden="1" customWidth="1"/>
    <col min="48" max="48" width="15.109375" style="278" hidden="1" customWidth="1"/>
    <col min="49" max="131" width="0" style="278" hidden="1" customWidth="1"/>
    <col min="132" max="132" width="15" style="278" hidden="1" customWidth="1"/>
    <col min="133" max="172" width="0" style="278" hidden="1" customWidth="1"/>
    <col min="173" max="173" width="3.6640625" style="278" hidden="1" customWidth="1"/>
    <col min="174" max="174" width="13.44140625" style="278" hidden="1" customWidth="1"/>
    <col min="175" max="175" width="15.109375" style="278" hidden="1" customWidth="1"/>
    <col min="176" max="176" width="15.6640625" style="278" hidden="1" customWidth="1"/>
    <col min="177" max="177" width="9.109375" style="453"/>
    <col min="178" max="178" width="13.6640625" style="453" customWidth="1"/>
    <col min="179" max="16384" width="9.109375" style="453"/>
  </cols>
  <sheetData>
    <row r="1" spans="1:178" ht="21">
      <c r="A1" s="896" t="s">
        <v>1626</v>
      </c>
      <c r="B1" s="896"/>
      <c r="C1" s="896"/>
      <c r="D1" s="896"/>
      <c r="E1" s="896"/>
      <c r="F1" s="896"/>
      <c r="G1" s="896"/>
      <c r="H1" s="896"/>
      <c r="I1" s="896"/>
      <c r="J1" s="896"/>
      <c r="K1" s="896"/>
      <c r="L1" s="896"/>
      <c r="M1" s="896"/>
      <c r="N1" s="896"/>
      <c r="O1" s="896"/>
      <c r="P1" s="896"/>
      <c r="Q1" s="896"/>
      <c r="R1" s="896"/>
      <c r="S1" s="896"/>
      <c r="T1" s="896"/>
      <c r="U1" s="896"/>
      <c r="V1" s="896"/>
      <c r="W1" s="896"/>
      <c r="X1" s="896"/>
      <c r="Y1" s="896"/>
      <c r="Z1" s="896"/>
      <c r="AA1" s="896"/>
      <c r="AB1" s="776"/>
      <c r="AC1" s="776"/>
      <c r="AD1" s="776"/>
      <c r="AE1" s="776"/>
      <c r="AF1" s="776"/>
      <c r="AG1" s="776"/>
      <c r="AH1" s="776"/>
      <c r="AI1" s="776"/>
      <c r="AJ1" s="776"/>
      <c r="AK1" s="776"/>
      <c r="AL1" s="776"/>
      <c r="AM1" s="776"/>
      <c r="AN1" s="776"/>
      <c r="AO1" s="776"/>
      <c r="AP1" s="776"/>
      <c r="AQ1" s="776"/>
      <c r="AR1" s="776">
        <v>40655000</v>
      </c>
      <c r="AS1" s="776" t="e">
        <f>+#REF!/AR1*100</f>
        <v>#REF!</v>
      </c>
      <c r="AT1" s="776"/>
      <c r="AU1" s="776"/>
      <c r="AV1" s="776"/>
      <c r="AW1" s="776"/>
      <c r="AX1" s="776"/>
      <c r="AY1" s="776"/>
      <c r="AZ1" s="776"/>
      <c r="BA1" s="776"/>
      <c r="BB1" s="776"/>
      <c r="BC1" s="776"/>
      <c r="BD1" s="776"/>
      <c r="BE1" s="776"/>
      <c r="BF1" s="776"/>
      <c r="BG1" s="776"/>
      <c r="BH1" s="776"/>
      <c r="BI1" s="776"/>
      <c r="BJ1" s="776"/>
      <c r="BK1" s="776"/>
      <c r="BL1" s="776"/>
      <c r="BM1" s="776"/>
      <c r="BN1" s="776"/>
      <c r="BO1" s="776"/>
      <c r="BP1" s="776"/>
      <c r="BQ1" s="776"/>
      <c r="BR1" s="776"/>
      <c r="BS1" s="776"/>
      <c r="BT1" s="776"/>
      <c r="BU1" s="776"/>
      <c r="BV1" s="776"/>
      <c r="BW1" s="776"/>
      <c r="BX1" s="776"/>
      <c r="BY1" s="776"/>
      <c r="BZ1" s="776"/>
      <c r="CA1" s="776"/>
      <c r="CB1" s="776"/>
      <c r="CC1" s="776"/>
      <c r="CD1" s="776"/>
      <c r="CE1" s="776"/>
      <c r="CF1" s="776"/>
      <c r="CG1" s="776"/>
      <c r="CH1" s="776"/>
      <c r="CI1" s="776"/>
      <c r="CJ1" s="776"/>
      <c r="CK1" s="776"/>
      <c r="CL1" s="776"/>
      <c r="CM1" s="776"/>
      <c r="CN1" s="776"/>
      <c r="CO1" s="776"/>
      <c r="CP1" s="776"/>
      <c r="CQ1" s="776"/>
      <c r="CR1" s="776"/>
      <c r="CS1" s="776"/>
      <c r="CT1" s="776"/>
      <c r="CU1" s="776"/>
      <c r="CV1" s="776"/>
      <c r="CW1" s="776"/>
      <c r="CX1" s="776"/>
      <c r="CY1" s="776"/>
      <c r="CZ1" s="776"/>
      <c r="DA1" s="776"/>
      <c r="DB1" s="776"/>
      <c r="DC1" s="776"/>
      <c r="DD1" s="776"/>
      <c r="DE1" s="776"/>
      <c r="DF1" s="776"/>
      <c r="DG1" s="776"/>
      <c r="DH1" s="776"/>
      <c r="DI1" s="776"/>
      <c r="DJ1" s="776"/>
      <c r="DK1" s="776"/>
      <c r="DL1" s="776"/>
      <c r="DM1" s="776"/>
      <c r="DN1" s="776"/>
      <c r="DO1" s="776"/>
      <c r="DP1" s="776"/>
      <c r="DQ1" s="776"/>
      <c r="DR1" s="776"/>
      <c r="DS1" s="776"/>
      <c r="DT1" s="776"/>
      <c r="DU1" s="776"/>
      <c r="DV1" s="776"/>
      <c r="DW1" s="776"/>
      <c r="DX1" s="776"/>
      <c r="DY1" s="776"/>
      <c r="DZ1" s="776"/>
      <c r="EA1" s="776"/>
      <c r="EB1" s="776"/>
      <c r="EC1" s="776"/>
      <c r="ED1" s="776"/>
      <c r="EE1" s="776"/>
      <c r="EF1" s="776"/>
      <c r="EG1" s="776"/>
      <c r="EH1" s="776"/>
      <c r="EI1" s="776"/>
      <c r="EJ1" s="776"/>
      <c r="EK1" s="776"/>
      <c r="EL1" s="776"/>
      <c r="EM1" s="776"/>
      <c r="EN1" s="776"/>
      <c r="EO1" s="776"/>
      <c r="EP1" s="776"/>
      <c r="EQ1" s="776"/>
      <c r="ER1" s="776"/>
      <c r="ES1" s="776"/>
      <c r="ET1" s="776"/>
      <c r="EU1" s="776"/>
      <c r="EV1" s="776"/>
      <c r="EW1" s="776"/>
      <c r="EX1" s="776"/>
      <c r="EY1" s="776"/>
      <c r="EZ1" s="776"/>
      <c r="FA1" s="776"/>
      <c r="FB1" s="776"/>
      <c r="FC1" s="776"/>
      <c r="FD1" s="776"/>
      <c r="FE1" s="776"/>
      <c r="FF1" s="776"/>
      <c r="FG1" s="776"/>
      <c r="FH1" s="776"/>
      <c r="FI1" s="776"/>
      <c r="FJ1" s="776"/>
      <c r="FK1" s="776"/>
      <c r="FL1" s="776"/>
      <c r="FM1" s="776"/>
      <c r="FN1" s="776"/>
      <c r="FO1" s="776"/>
      <c r="FP1" s="776"/>
      <c r="FQ1" s="776"/>
      <c r="FR1" s="776"/>
      <c r="FS1" s="776"/>
      <c r="FT1" s="776"/>
    </row>
    <row r="2" spans="1:178" ht="21">
      <c r="A2" s="896" t="s">
        <v>358</v>
      </c>
      <c r="B2" s="896"/>
      <c r="C2" s="896"/>
      <c r="D2" s="896"/>
      <c r="E2" s="896"/>
      <c r="F2" s="896"/>
      <c r="G2" s="896"/>
      <c r="H2" s="896"/>
      <c r="I2" s="896"/>
      <c r="J2" s="896"/>
      <c r="K2" s="896"/>
      <c r="L2" s="896"/>
      <c r="M2" s="896"/>
      <c r="N2" s="896"/>
      <c r="O2" s="896"/>
      <c r="P2" s="896"/>
      <c r="Q2" s="896"/>
      <c r="R2" s="896"/>
      <c r="S2" s="896"/>
      <c r="T2" s="896"/>
      <c r="U2" s="896"/>
      <c r="V2" s="896"/>
      <c r="W2" s="896"/>
      <c r="X2" s="896"/>
      <c r="Y2" s="896"/>
      <c r="Z2" s="896"/>
      <c r="AA2" s="756"/>
      <c r="AB2" s="776"/>
      <c r="AC2" s="776"/>
      <c r="AD2" s="776"/>
      <c r="AE2" s="776"/>
      <c r="AF2" s="776"/>
      <c r="AG2" s="776"/>
      <c r="AH2" s="776"/>
      <c r="AI2" s="776"/>
      <c r="AJ2" s="776"/>
      <c r="AK2" s="776"/>
      <c r="AL2" s="776"/>
      <c r="AM2" s="776"/>
      <c r="AN2" s="776"/>
      <c r="AO2" s="776"/>
      <c r="AP2" s="776"/>
      <c r="AQ2" s="776"/>
      <c r="AR2" s="776"/>
      <c r="AS2" s="776"/>
      <c r="AT2" s="776"/>
      <c r="AU2" s="776"/>
      <c r="AV2" s="776"/>
      <c r="AW2" s="776"/>
      <c r="AX2" s="776"/>
      <c r="AY2" s="776"/>
      <c r="AZ2" s="776"/>
      <c r="BA2" s="776"/>
      <c r="BB2" s="776"/>
      <c r="BC2" s="776"/>
      <c r="BD2" s="776"/>
      <c r="BE2" s="776"/>
      <c r="BF2" s="776"/>
      <c r="BG2" s="776"/>
      <c r="BH2" s="776"/>
      <c r="BI2" s="776"/>
      <c r="BJ2" s="776"/>
      <c r="BK2" s="776"/>
      <c r="BL2" s="776"/>
      <c r="BM2" s="776"/>
      <c r="BN2" s="776"/>
      <c r="BO2" s="776"/>
      <c r="BP2" s="776"/>
      <c r="BQ2" s="776"/>
      <c r="BR2" s="776"/>
      <c r="BS2" s="776"/>
      <c r="BT2" s="776"/>
      <c r="BU2" s="776"/>
      <c r="BV2" s="776"/>
      <c r="BW2" s="776"/>
      <c r="BX2" s="776"/>
      <c r="BY2" s="776"/>
      <c r="BZ2" s="776"/>
      <c r="CA2" s="776"/>
      <c r="CB2" s="776"/>
      <c r="CC2" s="776"/>
      <c r="CD2" s="776"/>
      <c r="CE2" s="776"/>
      <c r="CF2" s="776"/>
      <c r="CG2" s="776"/>
      <c r="CH2" s="776"/>
      <c r="CI2" s="776"/>
      <c r="CJ2" s="776"/>
      <c r="CK2" s="776"/>
      <c r="CL2" s="776"/>
      <c r="CM2" s="776"/>
      <c r="CN2" s="776"/>
      <c r="CO2" s="776"/>
      <c r="CP2" s="776"/>
      <c r="CQ2" s="776"/>
      <c r="CR2" s="776"/>
      <c r="CS2" s="776"/>
      <c r="CT2" s="776"/>
      <c r="CU2" s="776"/>
      <c r="CV2" s="776"/>
      <c r="CW2" s="776"/>
      <c r="CX2" s="776"/>
      <c r="CY2" s="776"/>
      <c r="CZ2" s="776"/>
      <c r="DA2" s="776"/>
      <c r="DB2" s="776"/>
      <c r="DC2" s="776"/>
      <c r="DD2" s="776"/>
      <c r="DE2" s="776"/>
      <c r="DF2" s="776"/>
      <c r="DG2" s="776"/>
      <c r="DH2" s="776"/>
      <c r="DI2" s="776"/>
      <c r="DJ2" s="776"/>
      <c r="DK2" s="776"/>
      <c r="DL2" s="776"/>
      <c r="DM2" s="776"/>
      <c r="DN2" s="776"/>
      <c r="DO2" s="776"/>
      <c r="DP2" s="776"/>
      <c r="DQ2" s="776"/>
      <c r="DR2" s="776"/>
      <c r="DS2" s="776"/>
      <c r="DT2" s="776"/>
      <c r="DU2" s="776"/>
      <c r="DV2" s="776"/>
      <c r="DW2" s="776"/>
      <c r="DX2" s="776"/>
      <c r="DY2" s="776"/>
      <c r="DZ2" s="776"/>
      <c r="EA2" s="776"/>
      <c r="EB2" s="776"/>
      <c r="EC2" s="776"/>
      <c r="ED2" s="776"/>
      <c r="EE2" s="776"/>
      <c r="EF2" s="776"/>
      <c r="EG2" s="776"/>
      <c r="EH2" s="776"/>
      <c r="EI2" s="776"/>
      <c r="EJ2" s="776"/>
      <c r="EK2" s="776"/>
      <c r="EL2" s="776"/>
      <c r="EM2" s="776"/>
      <c r="EN2" s="776"/>
      <c r="EO2" s="776"/>
      <c r="EP2" s="776"/>
      <c r="EQ2" s="776"/>
      <c r="ER2" s="776"/>
      <c r="ES2" s="776"/>
      <c r="ET2" s="776"/>
      <c r="EU2" s="776"/>
      <c r="EV2" s="776"/>
      <c r="EW2" s="776"/>
      <c r="EX2" s="776"/>
      <c r="EY2" s="776"/>
      <c r="EZ2" s="776"/>
      <c r="FA2" s="776"/>
      <c r="FB2" s="776"/>
      <c r="FC2" s="776"/>
      <c r="FD2" s="776"/>
      <c r="FE2" s="776"/>
      <c r="FF2" s="776"/>
      <c r="FG2" s="776"/>
      <c r="FH2" s="776"/>
      <c r="FI2" s="776"/>
      <c r="FJ2" s="776"/>
      <c r="FK2" s="776"/>
      <c r="FL2" s="776"/>
      <c r="FM2" s="776"/>
      <c r="FN2" s="776"/>
      <c r="FO2" s="776"/>
      <c r="FP2" s="776"/>
      <c r="FQ2" s="776"/>
      <c r="FR2" s="776"/>
      <c r="FS2" s="776"/>
      <c r="FT2" s="776"/>
    </row>
    <row r="3" spans="1:178" ht="21">
      <c r="A3" s="897" t="s">
        <v>377</v>
      </c>
      <c r="B3" s="896"/>
      <c r="C3" s="896"/>
      <c r="D3" s="896"/>
      <c r="E3" s="896"/>
      <c r="F3" s="896"/>
      <c r="G3" s="896"/>
      <c r="H3" s="896"/>
      <c r="I3" s="896"/>
      <c r="J3" s="896"/>
      <c r="K3" s="896"/>
      <c r="L3" s="896"/>
      <c r="M3" s="896"/>
      <c r="N3" s="896"/>
      <c r="O3" s="896"/>
      <c r="P3" s="896"/>
      <c r="Q3" s="896"/>
      <c r="R3" s="896"/>
      <c r="S3" s="896"/>
      <c r="T3" s="896"/>
      <c r="U3" s="896"/>
      <c r="V3" s="896"/>
      <c r="W3" s="896"/>
      <c r="X3" s="896"/>
      <c r="Y3" s="896"/>
      <c r="Z3" s="896"/>
      <c r="AA3" s="756"/>
      <c r="AB3" s="776"/>
      <c r="AC3" s="776"/>
      <c r="AD3" s="776"/>
      <c r="AE3" s="776"/>
      <c r="AF3" s="776"/>
      <c r="AG3" s="776"/>
      <c r="AH3" s="776"/>
      <c r="AI3" s="776"/>
      <c r="AJ3" s="776"/>
      <c r="AK3" s="776"/>
      <c r="AL3" s="776"/>
      <c r="AM3" s="777"/>
      <c r="AN3" s="776"/>
      <c r="AO3" s="776"/>
      <c r="AP3" s="776"/>
      <c r="AQ3" s="777"/>
      <c r="AR3" s="776"/>
      <c r="AS3" s="778"/>
      <c r="AT3" s="776"/>
      <c r="AU3" s="776"/>
      <c r="AV3" s="776"/>
      <c r="AW3" s="776"/>
      <c r="AX3" s="776"/>
      <c r="AY3" s="776"/>
      <c r="AZ3" s="776"/>
      <c r="BA3" s="776"/>
      <c r="BB3" s="776"/>
      <c r="BC3" s="776"/>
      <c r="BD3" s="776"/>
      <c r="BE3" s="776"/>
      <c r="BF3" s="776"/>
      <c r="BG3" s="776"/>
      <c r="BH3" s="776"/>
      <c r="BI3" s="776"/>
      <c r="BJ3" s="776"/>
      <c r="BK3" s="776"/>
      <c r="BL3" s="776"/>
      <c r="BM3" s="776"/>
      <c r="BN3" s="776"/>
      <c r="BO3" s="776"/>
      <c r="BP3" s="776"/>
      <c r="BQ3" s="776"/>
      <c r="BR3" s="776"/>
      <c r="BS3" s="776"/>
      <c r="BT3" s="776"/>
      <c r="BU3" s="776"/>
      <c r="BV3" s="776"/>
      <c r="BW3" s="776"/>
      <c r="BX3" s="776"/>
      <c r="BY3" s="776"/>
      <c r="BZ3" s="776"/>
      <c r="CA3" s="776"/>
      <c r="CB3" s="776"/>
      <c r="CC3" s="776"/>
      <c r="CD3" s="776"/>
      <c r="CE3" s="776"/>
      <c r="CF3" s="776"/>
      <c r="CG3" s="776"/>
      <c r="CH3" s="776"/>
      <c r="CI3" s="776"/>
      <c r="CJ3" s="776"/>
      <c r="CK3" s="776"/>
      <c r="CL3" s="776"/>
      <c r="CM3" s="776"/>
      <c r="CN3" s="776"/>
      <c r="CO3" s="776"/>
      <c r="CP3" s="776"/>
      <c r="CQ3" s="776"/>
      <c r="CR3" s="776"/>
      <c r="CS3" s="776"/>
      <c r="CT3" s="776"/>
      <c r="CU3" s="776"/>
      <c r="CV3" s="776"/>
      <c r="CW3" s="776"/>
      <c r="CX3" s="776"/>
      <c r="CY3" s="776"/>
      <c r="CZ3" s="776"/>
      <c r="DA3" s="776"/>
      <c r="DB3" s="776"/>
      <c r="DC3" s="776"/>
      <c r="DD3" s="776"/>
      <c r="DE3" s="776"/>
      <c r="DF3" s="776"/>
      <c r="DG3" s="776"/>
      <c r="DH3" s="776"/>
      <c r="DI3" s="776"/>
      <c r="DJ3" s="776"/>
      <c r="DK3" s="776"/>
      <c r="DL3" s="776"/>
      <c r="DM3" s="776"/>
      <c r="DN3" s="776"/>
      <c r="DO3" s="776"/>
      <c r="DP3" s="776"/>
      <c r="DQ3" s="776"/>
      <c r="DR3" s="776"/>
      <c r="DS3" s="776"/>
      <c r="DT3" s="776"/>
      <c r="DU3" s="776"/>
      <c r="DV3" s="776"/>
      <c r="DW3" s="776"/>
      <c r="DX3" s="776"/>
      <c r="DY3" s="776"/>
      <c r="DZ3" s="776"/>
      <c r="EA3" s="776"/>
      <c r="EB3" s="776"/>
      <c r="EC3" s="776"/>
      <c r="ED3" s="776"/>
      <c r="EE3" s="776"/>
      <c r="EF3" s="776"/>
      <c r="EG3" s="776"/>
      <c r="EH3" s="776"/>
      <c r="EI3" s="776"/>
      <c r="EJ3" s="776"/>
      <c r="EK3" s="776"/>
      <c r="EL3" s="776"/>
      <c r="EM3" s="776"/>
      <c r="EN3" s="776"/>
      <c r="EO3" s="776"/>
      <c r="EP3" s="776"/>
      <c r="EQ3" s="776"/>
      <c r="ER3" s="776"/>
      <c r="ES3" s="776"/>
      <c r="ET3" s="776"/>
      <c r="EU3" s="776"/>
      <c r="EV3" s="776"/>
      <c r="EW3" s="776"/>
      <c r="EX3" s="776"/>
      <c r="EY3" s="776"/>
      <c r="EZ3" s="776"/>
      <c r="FA3" s="776"/>
      <c r="FB3" s="776"/>
      <c r="FC3" s="776"/>
      <c r="FD3" s="776"/>
      <c r="FE3" s="776"/>
      <c r="FF3" s="776"/>
      <c r="FG3" s="776"/>
      <c r="FH3" s="776"/>
      <c r="FI3" s="776"/>
      <c r="FJ3" s="776"/>
      <c r="FK3" s="776"/>
      <c r="FL3" s="776"/>
      <c r="FM3" s="776"/>
      <c r="FN3" s="776"/>
      <c r="FO3" s="776"/>
      <c r="FP3" s="776"/>
      <c r="FQ3" s="776"/>
      <c r="FR3" s="776"/>
      <c r="FS3" s="776"/>
      <c r="FT3" s="776"/>
    </row>
    <row r="4" spans="1:178" ht="21">
      <c r="A4" s="890" t="str">
        <f>PL1.KH25!A3</f>
        <v>(Kèm theo Nghị quyết số 24/NQ-HĐND  ngày 22 tháng 8 năm 2025 của HĐND tỉnh Quảng Ngãi)</v>
      </c>
      <c r="B4" s="890"/>
      <c r="C4" s="890"/>
      <c r="D4" s="890"/>
      <c r="E4" s="890"/>
      <c r="F4" s="890"/>
      <c r="G4" s="890"/>
      <c r="H4" s="890"/>
      <c r="I4" s="890"/>
      <c r="J4" s="890"/>
      <c r="K4" s="890"/>
      <c r="L4" s="890"/>
      <c r="M4" s="890"/>
      <c r="N4" s="890"/>
      <c r="O4" s="890"/>
      <c r="P4" s="890"/>
      <c r="Q4" s="890"/>
      <c r="R4" s="890"/>
      <c r="S4" s="890"/>
      <c r="T4" s="890"/>
      <c r="U4" s="890"/>
      <c r="V4" s="890"/>
      <c r="W4" s="890"/>
      <c r="X4" s="890"/>
      <c r="Y4" s="890"/>
      <c r="Z4" s="890"/>
      <c r="AA4" s="779"/>
      <c r="AB4" s="776"/>
      <c r="AC4" s="776"/>
      <c r="AD4" s="776"/>
      <c r="AE4" s="776"/>
      <c r="AF4" s="776"/>
      <c r="AG4" s="776"/>
      <c r="AH4" s="776"/>
      <c r="AI4" s="776"/>
      <c r="AJ4" s="776"/>
      <c r="AK4" s="776"/>
      <c r="AL4" s="776"/>
      <c r="AM4" s="777"/>
      <c r="AN4" s="776"/>
      <c r="AO4" s="776"/>
      <c r="AP4" s="776"/>
      <c r="AQ4" s="777"/>
      <c r="AR4" s="776"/>
      <c r="AS4" s="778"/>
      <c r="AT4" s="776"/>
      <c r="AU4" s="776"/>
      <c r="AV4" s="776"/>
      <c r="AW4" s="776"/>
      <c r="AX4" s="776"/>
      <c r="AY4" s="776"/>
      <c r="AZ4" s="776"/>
      <c r="BA4" s="776"/>
      <c r="BB4" s="776"/>
      <c r="BC4" s="776"/>
      <c r="BD4" s="776"/>
      <c r="BE4" s="776"/>
      <c r="BF4" s="776"/>
      <c r="BG4" s="776"/>
      <c r="BH4" s="776"/>
      <c r="BI4" s="776"/>
      <c r="BJ4" s="776"/>
      <c r="BK4" s="776"/>
      <c r="BL4" s="776"/>
      <c r="BM4" s="776"/>
      <c r="BN4" s="776"/>
      <c r="BO4" s="776"/>
      <c r="BP4" s="776"/>
      <c r="BQ4" s="776"/>
      <c r="BR4" s="776"/>
      <c r="BS4" s="776"/>
      <c r="BT4" s="776"/>
      <c r="BU4" s="776"/>
      <c r="BV4" s="776"/>
      <c r="BW4" s="776"/>
      <c r="BX4" s="776"/>
      <c r="BY4" s="776"/>
      <c r="BZ4" s="776"/>
      <c r="CA4" s="776"/>
      <c r="CB4" s="776"/>
      <c r="CC4" s="776"/>
      <c r="CD4" s="776"/>
      <c r="CE4" s="776"/>
      <c r="CF4" s="776"/>
      <c r="CG4" s="776"/>
      <c r="CH4" s="776"/>
      <c r="CI4" s="776"/>
      <c r="CJ4" s="776"/>
      <c r="CK4" s="776"/>
      <c r="CL4" s="776"/>
      <c r="CM4" s="776"/>
      <c r="CN4" s="776"/>
      <c r="CO4" s="776"/>
      <c r="CP4" s="776"/>
      <c r="CQ4" s="776"/>
      <c r="CR4" s="776"/>
      <c r="CS4" s="776"/>
      <c r="CT4" s="776"/>
      <c r="CU4" s="776"/>
      <c r="CV4" s="776"/>
      <c r="CW4" s="776"/>
      <c r="CX4" s="776"/>
      <c r="CY4" s="776"/>
      <c r="CZ4" s="776"/>
      <c r="DA4" s="776"/>
      <c r="DB4" s="776"/>
      <c r="DC4" s="776"/>
      <c r="DD4" s="776"/>
      <c r="DE4" s="776"/>
      <c r="DF4" s="776"/>
      <c r="DG4" s="776"/>
      <c r="DH4" s="776"/>
      <c r="DI4" s="776"/>
      <c r="DJ4" s="776"/>
      <c r="DK4" s="776"/>
      <c r="DL4" s="776"/>
      <c r="DM4" s="776"/>
      <c r="DN4" s="776"/>
      <c r="DO4" s="776"/>
      <c r="DP4" s="776"/>
      <c r="DQ4" s="776"/>
      <c r="DR4" s="776"/>
      <c r="DS4" s="776"/>
      <c r="DT4" s="776"/>
      <c r="DU4" s="776"/>
      <c r="DV4" s="776"/>
      <c r="DW4" s="776"/>
      <c r="DX4" s="776"/>
      <c r="DY4" s="776"/>
      <c r="DZ4" s="776"/>
      <c r="EA4" s="776"/>
      <c r="EB4" s="776"/>
      <c r="EC4" s="776"/>
      <c r="ED4" s="776"/>
      <c r="EE4" s="776"/>
      <c r="EF4" s="776"/>
      <c r="EG4" s="776"/>
      <c r="EH4" s="776"/>
      <c r="EI4" s="776"/>
      <c r="EJ4" s="776"/>
      <c r="EK4" s="776"/>
      <c r="EL4" s="776"/>
      <c r="EM4" s="776"/>
      <c r="EN4" s="776"/>
      <c r="EO4" s="776"/>
      <c r="EP4" s="776"/>
      <c r="EQ4" s="776"/>
      <c r="ER4" s="776"/>
      <c r="ES4" s="776"/>
      <c r="ET4" s="776"/>
      <c r="EU4" s="776"/>
      <c r="EV4" s="776"/>
      <c r="EW4" s="776"/>
      <c r="EX4" s="776"/>
      <c r="EY4" s="776"/>
      <c r="EZ4" s="776"/>
      <c r="FA4" s="776"/>
      <c r="FB4" s="776"/>
      <c r="FC4" s="776"/>
      <c r="FD4" s="776"/>
      <c r="FE4" s="776"/>
      <c r="FF4" s="776"/>
      <c r="FG4" s="776"/>
      <c r="FH4" s="776"/>
      <c r="FI4" s="776"/>
      <c r="FJ4" s="776"/>
      <c r="FK4" s="776"/>
      <c r="FL4" s="776"/>
      <c r="FM4" s="776"/>
      <c r="FN4" s="776"/>
      <c r="FO4" s="776"/>
      <c r="FP4" s="776"/>
      <c r="FQ4" s="776"/>
      <c r="FR4" s="776"/>
      <c r="FS4" s="776"/>
      <c r="FT4" s="776"/>
    </row>
    <row r="5" spans="1:178" ht="15.6">
      <c r="C5" s="898" t="s">
        <v>0</v>
      </c>
      <c r="D5" s="898"/>
      <c r="E5" s="898"/>
      <c r="F5" s="898"/>
      <c r="G5" s="898"/>
      <c r="H5" s="898"/>
      <c r="I5" s="898"/>
      <c r="J5" s="898"/>
      <c r="K5" s="898"/>
      <c r="L5" s="898"/>
      <c r="M5" s="898"/>
      <c r="N5" s="898"/>
      <c r="O5" s="898"/>
      <c r="P5" s="898"/>
      <c r="Q5" s="898"/>
      <c r="R5" s="898"/>
      <c r="S5" s="898"/>
      <c r="T5" s="898"/>
      <c r="U5" s="898"/>
      <c r="V5" s="898"/>
      <c r="W5" s="898"/>
      <c r="X5" s="898"/>
      <c r="Y5" s="898"/>
      <c r="Z5" s="898"/>
      <c r="AA5" s="898"/>
      <c r="AM5" s="278">
        <v>392000</v>
      </c>
      <c r="AP5" s="278" t="s">
        <v>1</v>
      </c>
      <c r="AQ5" s="780">
        <v>10000000</v>
      </c>
      <c r="FS5" s="781"/>
    </row>
    <row r="6" spans="1:178" ht="42" customHeight="1">
      <c r="A6" s="869"/>
      <c r="B6" s="869" t="s">
        <v>2</v>
      </c>
      <c r="C6" s="883" t="s">
        <v>3</v>
      </c>
      <c r="D6" s="891" t="s">
        <v>4</v>
      </c>
      <c r="E6" s="891" t="s">
        <v>5</v>
      </c>
      <c r="F6" s="891" t="s">
        <v>6</v>
      </c>
      <c r="G6" s="883" t="s">
        <v>7</v>
      </c>
      <c r="H6" s="883" t="s">
        <v>8</v>
      </c>
      <c r="I6" s="883"/>
      <c r="J6" s="891" t="s">
        <v>9</v>
      </c>
      <c r="K6" s="891" t="s">
        <v>10</v>
      </c>
      <c r="L6" s="891" t="s">
        <v>1775</v>
      </c>
      <c r="M6" s="891" t="s">
        <v>11</v>
      </c>
      <c r="N6" s="891"/>
      <c r="O6" s="891"/>
      <c r="P6" s="891"/>
      <c r="Q6" s="891"/>
      <c r="R6" s="891"/>
      <c r="S6" s="883" t="s">
        <v>12</v>
      </c>
      <c r="T6" s="883"/>
      <c r="U6" s="883"/>
      <c r="V6" s="883" t="s">
        <v>13</v>
      </c>
      <c r="W6" s="883" t="s">
        <v>14</v>
      </c>
      <c r="X6" s="883" t="s">
        <v>359</v>
      </c>
      <c r="Y6" s="883" t="s">
        <v>1754</v>
      </c>
      <c r="Z6" s="883" t="s">
        <v>16</v>
      </c>
      <c r="AA6" s="900" t="s">
        <v>16</v>
      </c>
      <c r="AC6" s="278" t="s">
        <v>17</v>
      </c>
      <c r="AD6" s="782">
        <f>'[3]PB1-DU KIEN NGUON 16-8'!T11</f>
        <v>21144592.720049992</v>
      </c>
      <c r="AE6" s="783">
        <f>AD6*0.2</f>
        <v>4228918.5440099984</v>
      </c>
      <c r="AK6" s="278">
        <v>1</v>
      </c>
      <c r="AM6" s="784">
        <v>250000</v>
      </c>
      <c r="AP6" s="278" t="s">
        <v>18</v>
      </c>
      <c r="AQ6" s="780">
        <v>2402000</v>
      </c>
      <c r="FS6" s="785">
        <f>7320+236700</f>
        <v>244020</v>
      </c>
      <c r="FT6" s="895" t="s">
        <v>1720</v>
      </c>
    </row>
    <row r="7" spans="1:178" ht="18">
      <c r="A7" s="869"/>
      <c r="B7" s="869"/>
      <c r="C7" s="883"/>
      <c r="D7" s="892"/>
      <c r="E7" s="892"/>
      <c r="F7" s="892"/>
      <c r="G7" s="883"/>
      <c r="H7" s="883" t="s">
        <v>19</v>
      </c>
      <c r="I7" s="894" t="s">
        <v>20</v>
      </c>
      <c r="J7" s="892"/>
      <c r="K7" s="892"/>
      <c r="L7" s="892"/>
      <c r="M7" s="892" t="s">
        <v>19</v>
      </c>
      <c r="N7" s="892" t="s">
        <v>21</v>
      </c>
      <c r="O7" s="892" t="s">
        <v>22</v>
      </c>
      <c r="P7" s="901" t="s">
        <v>23</v>
      </c>
      <c r="Q7" s="901"/>
      <c r="R7" s="901"/>
      <c r="S7" s="883" t="s">
        <v>19</v>
      </c>
      <c r="T7" s="883" t="s">
        <v>15</v>
      </c>
      <c r="U7" s="883"/>
      <c r="V7" s="883"/>
      <c r="W7" s="883"/>
      <c r="X7" s="883"/>
      <c r="Y7" s="883"/>
      <c r="Z7" s="883"/>
      <c r="AA7" s="900"/>
      <c r="AC7" s="278" t="s">
        <v>24</v>
      </c>
      <c r="AD7" s="784">
        <f>V10</f>
        <v>11719188.561094999</v>
      </c>
      <c r="AE7" s="786">
        <f>AD7/AD6</f>
        <v>0.55424044890599777</v>
      </c>
      <c r="AH7" s="899" t="s">
        <v>25</v>
      </c>
      <c r="AI7" s="899"/>
      <c r="AJ7" s="899"/>
      <c r="AM7" s="784">
        <f>+AM5-AM6</f>
        <v>142000</v>
      </c>
      <c r="AQ7" s="780"/>
      <c r="FR7" s="787">
        <v>4186762</v>
      </c>
      <c r="FS7" s="788" t="e">
        <f>#REF!-FR7</f>
        <v>#REF!</v>
      </c>
      <c r="FT7" s="895"/>
      <c r="FV7" s="789">
        <v>2850945.4523</v>
      </c>
    </row>
    <row r="8" spans="1:178" ht="97.2">
      <c r="A8" s="869"/>
      <c r="B8" s="869"/>
      <c r="C8" s="883"/>
      <c r="D8" s="892"/>
      <c r="E8" s="892"/>
      <c r="F8" s="893"/>
      <c r="G8" s="883"/>
      <c r="H8" s="883"/>
      <c r="I8" s="894"/>
      <c r="J8" s="893"/>
      <c r="K8" s="892"/>
      <c r="L8" s="892"/>
      <c r="M8" s="892"/>
      <c r="N8" s="892"/>
      <c r="O8" s="892"/>
      <c r="P8" s="790" t="s">
        <v>26</v>
      </c>
      <c r="Q8" s="790" t="s">
        <v>27</v>
      </c>
      <c r="R8" s="790" t="s">
        <v>28</v>
      </c>
      <c r="S8" s="883"/>
      <c r="T8" s="755" t="s">
        <v>21</v>
      </c>
      <c r="U8" s="755" t="s">
        <v>22</v>
      </c>
      <c r="V8" s="883"/>
      <c r="W8" s="883"/>
      <c r="X8" s="883"/>
      <c r="Y8" s="883"/>
      <c r="Z8" s="883"/>
      <c r="AA8" s="900"/>
      <c r="AB8" s="791"/>
      <c r="AC8" s="792">
        <f>'[3]PL6 chuyen tiep 16-20 (IN)'!EA14+'[3]PL7- Khoi cong moi 21-25(IN)'!CI16</f>
        <v>1917005.9999999977</v>
      </c>
      <c r="AD8" s="793">
        <f>'[3]PL TongHOp 21-25 (IN)'!AH46</f>
        <v>326471.53199998662</v>
      </c>
      <c r="AE8" s="794">
        <f>1045000+AD8</f>
        <v>1371471.5319999866</v>
      </c>
      <c r="AF8" s="791"/>
      <c r="AG8" s="791"/>
      <c r="AH8" s="795" t="s">
        <v>29</v>
      </c>
      <c r="AI8" s="795" t="s">
        <v>30</v>
      </c>
      <c r="AJ8" s="795" t="s">
        <v>31</v>
      </c>
      <c r="AM8" s="278">
        <v>8372900</v>
      </c>
      <c r="AN8" s="392" t="s">
        <v>32</v>
      </c>
      <c r="AU8" s="784"/>
      <c r="EB8" s="278">
        <f>5.3*12750.8</f>
        <v>67579.239999999991</v>
      </c>
      <c r="FR8" s="796">
        <v>4527782</v>
      </c>
      <c r="FS8" s="797" t="e">
        <f>FR8-#REF!</f>
        <v>#REF!</v>
      </c>
      <c r="FT8" s="895"/>
      <c r="FV8" s="798"/>
    </row>
    <row r="9" spans="1:178" ht="17.399999999999999">
      <c r="A9" s="27">
        <v>1</v>
      </c>
      <c r="B9" s="27">
        <v>2</v>
      </c>
      <c r="C9" s="27">
        <v>3</v>
      </c>
      <c r="D9" s="280">
        <v>4</v>
      </c>
      <c r="E9" s="280"/>
      <c r="F9" s="27">
        <v>4</v>
      </c>
      <c r="G9" s="27">
        <v>5</v>
      </c>
      <c r="H9" s="27">
        <v>6</v>
      </c>
      <c r="I9" s="27">
        <v>7</v>
      </c>
      <c r="J9" s="27">
        <v>8</v>
      </c>
      <c r="K9" s="280"/>
      <c r="L9" s="280">
        <v>19</v>
      </c>
      <c r="M9" s="280"/>
      <c r="N9" s="280"/>
      <c r="O9" s="525" t="s">
        <v>33</v>
      </c>
      <c r="P9" s="280">
        <v>17</v>
      </c>
      <c r="Q9" s="280"/>
      <c r="R9" s="280">
        <v>18</v>
      </c>
      <c r="S9" s="27">
        <v>9</v>
      </c>
      <c r="T9" s="27">
        <v>10</v>
      </c>
      <c r="U9" s="27">
        <v>11</v>
      </c>
      <c r="V9" s="27">
        <v>12</v>
      </c>
      <c r="W9" s="27">
        <v>13</v>
      </c>
      <c r="X9" s="27">
        <v>14</v>
      </c>
      <c r="Y9" s="27">
        <v>12</v>
      </c>
      <c r="Z9" s="27">
        <v>13</v>
      </c>
      <c r="AA9" s="760"/>
      <c r="AB9" s="791"/>
      <c r="AC9" s="793">
        <v>1044029</v>
      </c>
      <c r="AD9" s="793">
        <f>AD6-AD8</f>
        <v>20818121.188050006</v>
      </c>
      <c r="AE9" s="793">
        <f>AD6-AE8</f>
        <v>19773121.188050006</v>
      </c>
      <c r="AF9" s="799">
        <f>AE9*0.2</f>
        <v>3954624.2376100011</v>
      </c>
      <c r="AG9" s="791"/>
      <c r="AH9" s="800"/>
      <c r="AI9" s="800"/>
      <c r="AJ9" s="800"/>
      <c r="AN9" s="392"/>
      <c r="FR9" s="796"/>
      <c r="FS9" s="797"/>
      <c r="FT9" s="783"/>
    </row>
    <row r="10" spans="1:178" ht="33" customHeight="1">
      <c r="A10" s="279"/>
      <c r="B10" s="280" t="s">
        <v>34</v>
      </c>
      <c r="C10" s="281"/>
      <c r="D10" s="281"/>
      <c r="E10" s="281"/>
      <c r="F10" s="281"/>
      <c r="G10" s="281"/>
      <c r="H10" s="295">
        <f t="shared" ref="H10:Y10" si="0">H11+H119</f>
        <v>26119158.984999999</v>
      </c>
      <c r="I10" s="295">
        <f t="shared" si="0"/>
        <v>17928408.984999999</v>
      </c>
      <c r="J10" s="295">
        <f t="shared" si="0"/>
        <v>1760445.28</v>
      </c>
      <c r="K10" s="295">
        <f t="shared" si="0"/>
        <v>29531</v>
      </c>
      <c r="L10" s="295">
        <f t="shared" si="0"/>
        <v>373576</v>
      </c>
      <c r="M10" s="295">
        <f t="shared" si="0"/>
        <v>2541337.6616263795</v>
      </c>
      <c r="N10" s="295">
        <f t="shared" si="0"/>
        <v>230788</v>
      </c>
      <c r="O10" s="295">
        <f t="shared" si="0"/>
        <v>2732125.6616263795</v>
      </c>
      <c r="P10" s="295">
        <f t="shared" si="0"/>
        <v>274112.60962639761</v>
      </c>
      <c r="Q10" s="295">
        <f t="shared" si="0"/>
        <v>15212</v>
      </c>
      <c r="R10" s="295">
        <f t="shared" si="0"/>
        <v>1490801.730999982</v>
      </c>
      <c r="S10" s="295">
        <f t="shared" si="0"/>
        <v>12454642.137905</v>
      </c>
      <c r="T10" s="295">
        <f t="shared" si="0"/>
        <v>5628790.4910810003</v>
      </c>
      <c r="U10" s="295">
        <f t="shared" si="0"/>
        <v>6715851.6468240004</v>
      </c>
      <c r="V10" s="295">
        <f t="shared" si="0"/>
        <v>11719188.561094999</v>
      </c>
      <c r="W10" s="295">
        <f t="shared" si="0"/>
        <v>13131427.312095001</v>
      </c>
      <c r="X10" s="295">
        <f t="shared" si="0"/>
        <v>6564726.4216</v>
      </c>
      <c r="Y10" s="295">
        <f t="shared" si="0"/>
        <v>2898315.4523</v>
      </c>
      <c r="Z10" s="295"/>
      <c r="AA10" s="801">
        <v>5667978</v>
      </c>
      <c r="AB10" s="10"/>
      <c r="AC10" s="10"/>
      <c r="AD10" s="10"/>
      <c r="AE10" s="10"/>
      <c r="AF10" s="10"/>
      <c r="AG10" s="10"/>
      <c r="AH10" s="11"/>
      <c r="AI10" s="11"/>
      <c r="AJ10" s="11"/>
      <c r="AK10" s="11"/>
      <c r="AL10" s="11"/>
      <c r="AM10" s="12"/>
      <c r="AN10" s="13"/>
      <c r="AO10" s="12"/>
      <c r="AP10" s="12"/>
      <c r="AQ10" s="12"/>
      <c r="AR10" s="12"/>
      <c r="AS10" s="12"/>
      <c r="AT10" s="13"/>
      <c r="AU10" s="14"/>
      <c r="AV10" s="13">
        <v>2574568.9071999998</v>
      </c>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3"/>
      <c r="FS10" s="15"/>
      <c r="FT10" s="295" t="e">
        <f>FT11+FT119</f>
        <v>#REF!</v>
      </c>
    </row>
    <row r="11" spans="1:178" ht="48" customHeight="1">
      <c r="A11" s="282" t="s">
        <v>35</v>
      </c>
      <c r="B11" s="283" t="s">
        <v>36</v>
      </c>
      <c r="C11" s="284"/>
      <c r="D11" s="284"/>
      <c r="E11" s="284"/>
      <c r="F11" s="284"/>
      <c r="G11" s="284"/>
      <c r="H11" s="296">
        <f t="shared" ref="H11:Y11" si="1">H12+H113</f>
        <v>26119158.984999999</v>
      </c>
      <c r="I11" s="296">
        <f t="shared" si="1"/>
        <v>17928408.984999999</v>
      </c>
      <c r="J11" s="296">
        <f t="shared" si="1"/>
        <v>1760445.28</v>
      </c>
      <c r="K11" s="296">
        <f t="shared" si="1"/>
        <v>29531</v>
      </c>
      <c r="L11" s="296">
        <f t="shared" si="1"/>
        <v>373576</v>
      </c>
      <c r="M11" s="296">
        <f t="shared" si="1"/>
        <v>2541337.6616263795</v>
      </c>
      <c r="N11" s="296">
        <f t="shared" si="1"/>
        <v>230788</v>
      </c>
      <c r="O11" s="296">
        <f t="shared" si="1"/>
        <v>2732125.6616263795</v>
      </c>
      <c r="P11" s="296">
        <f t="shared" si="1"/>
        <v>274112.60962639761</v>
      </c>
      <c r="Q11" s="296">
        <f t="shared" si="1"/>
        <v>15212</v>
      </c>
      <c r="R11" s="296">
        <f t="shared" si="1"/>
        <v>1490801.730999982</v>
      </c>
      <c r="S11" s="296">
        <f t="shared" si="1"/>
        <v>12454642.137905</v>
      </c>
      <c r="T11" s="296">
        <f t="shared" si="1"/>
        <v>5628790.4910810003</v>
      </c>
      <c r="U11" s="296">
        <f t="shared" si="1"/>
        <v>6715851.6468240004</v>
      </c>
      <c r="V11" s="296">
        <f t="shared" si="1"/>
        <v>11719188.561094999</v>
      </c>
      <c r="W11" s="296">
        <f t="shared" si="1"/>
        <v>10413360.112095002</v>
      </c>
      <c r="X11" s="296">
        <f t="shared" si="1"/>
        <v>4744726.4216</v>
      </c>
      <c r="Y11" s="296">
        <f t="shared" si="1"/>
        <v>2650945.4523</v>
      </c>
      <c r="Z11" s="296"/>
      <c r="AA11" s="801"/>
      <c r="AB11" s="10"/>
      <c r="AC11" s="10"/>
      <c r="AD11" s="10"/>
      <c r="AE11" s="10"/>
      <c r="AF11" s="10"/>
      <c r="AG11" s="10"/>
      <c r="AH11" s="11"/>
      <c r="AI11" s="11"/>
      <c r="AJ11" s="11"/>
      <c r="AK11" s="11"/>
      <c r="AL11" s="11"/>
      <c r="AM11" s="12"/>
      <c r="AN11" s="13"/>
      <c r="AO11" s="12"/>
      <c r="AP11" s="12"/>
      <c r="AQ11" s="12"/>
      <c r="AR11" s="12"/>
      <c r="AS11" s="12"/>
      <c r="AT11" s="13"/>
      <c r="AU11" s="14"/>
      <c r="AV11" s="13">
        <v>2585000</v>
      </c>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3"/>
      <c r="FS11" s="15"/>
      <c r="FT11" s="296" t="e">
        <f>FT12+FT113</f>
        <v>#REF!</v>
      </c>
    </row>
    <row r="12" spans="1:178" ht="45.75" customHeight="1">
      <c r="A12" s="285" t="s">
        <v>37</v>
      </c>
      <c r="B12" s="286" t="s">
        <v>38</v>
      </c>
      <c r="C12" s="287"/>
      <c r="D12" s="287"/>
      <c r="E12" s="287"/>
      <c r="F12" s="287"/>
      <c r="G12" s="287"/>
      <c r="H12" s="297">
        <f>H13+H44+H85+H90+H94+H96+H98+H100+H103+H107+H111</f>
        <v>25140394.984999999</v>
      </c>
      <c r="I12" s="297">
        <f t="shared" ref="I12:Y12" si="2">I13+I44+I85+I90+I94+I96+I98+I100+I103+I107+I111</f>
        <v>17771906.984999999</v>
      </c>
      <c r="J12" s="297">
        <f t="shared" si="2"/>
        <v>1760445.28</v>
      </c>
      <c r="K12" s="297">
        <f t="shared" si="2"/>
        <v>29531</v>
      </c>
      <c r="L12" s="297">
        <f t="shared" si="2"/>
        <v>147576</v>
      </c>
      <c r="M12" s="297">
        <f t="shared" si="2"/>
        <v>2521337.6616263795</v>
      </c>
      <c r="N12" s="297">
        <f t="shared" si="2"/>
        <v>0</v>
      </c>
      <c r="O12" s="297">
        <f t="shared" si="2"/>
        <v>2521337.6616263795</v>
      </c>
      <c r="P12" s="297">
        <f t="shared" si="2"/>
        <v>254112.60962639764</v>
      </c>
      <c r="Q12" s="297">
        <f t="shared" si="2"/>
        <v>0</v>
      </c>
      <c r="R12" s="297">
        <f t="shared" si="2"/>
        <v>1475589.730999982</v>
      </c>
      <c r="S12" s="297">
        <f t="shared" si="2"/>
        <v>11942854.323905</v>
      </c>
      <c r="T12" s="297">
        <f t="shared" si="2"/>
        <v>5167002.6770810001</v>
      </c>
      <c r="U12" s="297">
        <f t="shared" si="2"/>
        <v>6665851.6468240004</v>
      </c>
      <c r="V12" s="297">
        <f t="shared" si="2"/>
        <v>11364412.375094999</v>
      </c>
      <c r="W12" s="297">
        <f t="shared" si="2"/>
        <v>10220583.926095001</v>
      </c>
      <c r="X12" s="297">
        <f t="shared" si="2"/>
        <v>4608070.2356000002</v>
      </c>
      <c r="Y12" s="297">
        <f t="shared" si="2"/>
        <v>2573563.4523</v>
      </c>
      <c r="Z12" s="297"/>
      <c r="AA12" s="801"/>
      <c r="AB12" s="10"/>
      <c r="AC12" s="10"/>
      <c r="AD12" s="10"/>
      <c r="AE12" s="10"/>
      <c r="AF12" s="10"/>
      <c r="AG12" s="10"/>
      <c r="AH12" s="11"/>
      <c r="AI12" s="11"/>
      <c r="AJ12" s="11"/>
      <c r="AK12" s="11"/>
      <c r="AL12" s="11"/>
      <c r="AM12" s="12"/>
      <c r="AN12" s="13"/>
      <c r="AO12" s="12"/>
      <c r="AP12" s="12"/>
      <c r="AQ12" s="12"/>
      <c r="AR12" s="12"/>
      <c r="AS12" s="12"/>
      <c r="AT12" s="13"/>
      <c r="AU12" s="14" t="e">
        <f>AV11-#REF!</f>
        <v>#REF!</v>
      </c>
      <c r="AV12" s="13"/>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3"/>
      <c r="FS12" s="15"/>
      <c r="FT12" s="297" t="e">
        <f>FT13+FT44+FT85+FT90+FT94+FT96+FT98+#REF!+FT100+FT103+FT107</f>
        <v>#REF!</v>
      </c>
    </row>
    <row r="13" spans="1:178" ht="27.75" customHeight="1">
      <c r="A13" s="288" t="s">
        <v>39</v>
      </c>
      <c r="B13" s="289" t="s">
        <v>40</v>
      </c>
      <c r="C13" s="290"/>
      <c r="D13" s="290"/>
      <c r="E13" s="290"/>
      <c r="F13" s="290"/>
      <c r="G13" s="290"/>
      <c r="H13" s="290">
        <f t="shared" ref="H13:Y13" si="3">SUM(H14:H43)</f>
        <v>13098929.185000001</v>
      </c>
      <c r="I13" s="290">
        <f t="shared" si="3"/>
        <v>8152792.1850000005</v>
      </c>
      <c r="J13" s="290">
        <f t="shared" si="3"/>
        <v>1595727</v>
      </c>
      <c r="K13" s="290">
        <f t="shared" si="3"/>
        <v>9765</v>
      </c>
      <c r="L13" s="290">
        <f t="shared" si="3"/>
        <v>0</v>
      </c>
      <c r="M13" s="290">
        <f t="shared" si="3"/>
        <v>1809635.321</v>
      </c>
      <c r="N13" s="290">
        <f t="shared" si="3"/>
        <v>0</v>
      </c>
      <c r="O13" s="290">
        <f t="shared" si="3"/>
        <v>1809635.321</v>
      </c>
      <c r="P13" s="290">
        <f t="shared" si="3"/>
        <v>35000</v>
      </c>
      <c r="Q13" s="290">
        <f t="shared" si="3"/>
        <v>0</v>
      </c>
      <c r="R13" s="290">
        <f t="shared" si="3"/>
        <v>968000</v>
      </c>
      <c r="S13" s="290">
        <f t="shared" si="3"/>
        <v>6052866.1209999993</v>
      </c>
      <c r="T13" s="290">
        <f t="shared" si="3"/>
        <v>2927323</v>
      </c>
      <c r="U13" s="290">
        <f t="shared" si="3"/>
        <v>3125543.1209999998</v>
      </c>
      <c r="V13" s="290">
        <f t="shared" si="3"/>
        <v>5440571.0639999993</v>
      </c>
      <c r="W13" s="290">
        <f t="shared" si="3"/>
        <v>4418571.6850000005</v>
      </c>
      <c r="X13" s="290">
        <f t="shared" si="3"/>
        <v>1984029.6850000001</v>
      </c>
      <c r="Y13" s="290">
        <f t="shared" si="3"/>
        <v>1164479.6850000001</v>
      </c>
      <c r="Z13" s="290"/>
      <c r="AA13" s="801">
        <f>W10+AA10</f>
        <v>18799405.312095001</v>
      </c>
      <c r="AB13" s="802" t="e">
        <f>#REF!/X13*100</f>
        <v>#REF!</v>
      </c>
      <c r="AC13" s="802"/>
      <c r="AD13" s="803">
        <f>AD10/AD9</f>
        <v>0</v>
      </c>
      <c r="AE13" s="803">
        <f>AE10/AE9</f>
        <v>0</v>
      </c>
      <c r="AF13" s="802"/>
      <c r="AG13" s="802"/>
      <c r="AH13" s="11"/>
      <c r="AI13" s="11"/>
      <c r="AJ13" s="11"/>
      <c r="AK13" s="11"/>
      <c r="AL13" s="11"/>
      <c r="AM13" s="12"/>
      <c r="AN13" s="13"/>
      <c r="AO13" s="12"/>
      <c r="AP13" s="12"/>
      <c r="AQ13" s="12"/>
      <c r="AR13" s="12"/>
      <c r="AS13" s="12"/>
      <c r="AT13" s="13"/>
      <c r="AU13" s="14">
        <f>AV11-AV10</f>
        <v>10431.092800000217</v>
      </c>
      <c r="AV13" s="13"/>
      <c r="AW13" s="14"/>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3"/>
      <c r="FS13" s="15"/>
      <c r="FT13" s="290">
        <f>SUM(FT14:FT43)</f>
        <v>0</v>
      </c>
    </row>
    <row r="14" spans="1:178" ht="46.8" outlineLevel="1">
      <c r="A14" s="28">
        <v>1</v>
      </c>
      <c r="B14" s="291" t="s">
        <v>41</v>
      </c>
      <c r="C14" s="28" t="s">
        <v>42</v>
      </c>
      <c r="D14" s="293" t="s">
        <v>35</v>
      </c>
      <c r="E14" s="293"/>
      <c r="F14" s="293" t="s">
        <v>43</v>
      </c>
      <c r="G14" s="293" t="s">
        <v>44</v>
      </c>
      <c r="H14" s="298">
        <v>3500000</v>
      </c>
      <c r="I14" s="298">
        <v>2200000</v>
      </c>
      <c r="J14" s="298"/>
      <c r="K14" s="298">
        <v>1450</v>
      </c>
      <c r="L14" s="300"/>
      <c r="M14" s="804">
        <f>N14+O14</f>
        <v>861000</v>
      </c>
      <c r="N14" s="804"/>
      <c r="O14" s="301">
        <f>P14+R14+Q14</f>
        <v>861000</v>
      </c>
      <c r="P14" s="300"/>
      <c r="Q14" s="300"/>
      <c r="R14" s="300">
        <f>'[3]PL5 DOi Ung von DA NSTW (IN)'!CZ29</f>
        <v>861000</v>
      </c>
      <c r="S14" s="301">
        <f t="shared" ref="S14:S43" si="4">T14+U14</f>
        <v>1917607.8</v>
      </c>
      <c r="T14" s="301">
        <v>1300000</v>
      </c>
      <c r="U14" s="301">
        <v>617607.80000000005</v>
      </c>
      <c r="V14" s="299">
        <f t="shared" ref="V14:V27" si="5">H14-J14-K14-S14</f>
        <v>1580942.2</v>
      </c>
      <c r="W14" s="299">
        <v>1580000</v>
      </c>
      <c r="X14" s="299">
        <v>700000</v>
      </c>
      <c r="Y14" s="299">
        <v>380000</v>
      </c>
      <c r="Z14" s="304"/>
      <c r="AA14" s="805"/>
      <c r="AB14" s="10"/>
      <c r="AC14" s="10"/>
      <c r="AD14" s="10"/>
      <c r="AE14" s="10"/>
      <c r="AF14" s="10"/>
      <c r="AG14" s="10"/>
      <c r="AH14" s="11"/>
      <c r="AJ14" s="784"/>
      <c r="AN14" s="784"/>
      <c r="AT14" s="13"/>
      <c r="AU14" s="14"/>
      <c r="AV14" s="13"/>
      <c r="AW14" s="14"/>
      <c r="FR14" s="784"/>
      <c r="FS14" s="806"/>
    </row>
    <row r="15" spans="1:178" ht="57.75" customHeight="1" outlineLevel="1">
      <c r="A15" s="28">
        <v>2</v>
      </c>
      <c r="B15" s="291" t="s">
        <v>45</v>
      </c>
      <c r="C15" s="293" t="s">
        <v>46</v>
      </c>
      <c r="D15" s="293" t="s">
        <v>47</v>
      </c>
      <c r="E15" s="293"/>
      <c r="F15" s="293" t="s">
        <v>48</v>
      </c>
      <c r="G15" s="293" t="s">
        <v>49</v>
      </c>
      <c r="H15" s="299">
        <v>380000</v>
      </c>
      <c r="I15" s="300">
        <v>124000</v>
      </c>
      <c r="J15" s="300">
        <v>0</v>
      </c>
      <c r="K15" s="298">
        <v>200</v>
      </c>
      <c r="L15" s="300"/>
      <c r="M15" s="804">
        <f>N15+O15</f>
        <v>32000</v>
      </c>
      <c r="N15" s="804"/>
      <c r="O15" s="301">
        <f>P15+R15+Q15</f>
        <v>32000</v>
      </c>
      <c r="P15" s="300">
        <f>'[3]PL7- Khoi cong moi 21-25(IN)'!AK27</f>
        <v>5000</v>
      </c>
      <c r="Q15" s="300">
        <f>'[3]PL7- Khoi cong moi 21-25(IN)'!AL27</f>
        <v>0</v>
      </c>
      <c r="R15" s="300">
        <f>'[3]PL7- Khoi cong moi 21-25(IN)'!AM27</f>
        <v>27000</v>
      </c>
      <c r="S15" s="301">
        <f t="shared" si="4"/>
        <v>276000</v>
      </c>
      <c r="T15" s="301">
        <f>H15-I15</f>
        <v>256000</v>
      </c>
      <c r="U15" s="301">
        <v>20000</v>
      </c>
      <c r="V15" s="299">
        <f t="shared" si="5"/>
        <v>103800</v>
      </c>
      <c r="W15" s="299">
        <v>103800</v>
      </c>
      <c r="X15" s="299">
        <v>50000</v>
      </c>
      <c r="Y15" s="299">
        <v>35000</v>
      </c>
      <c r="Z15" s="293"/>
      <c r="AA15" s="805"/>
      <c r="AB15" s="10">
        <v>4014639.84637362</v>
      </c>
      <c r="AC15" s="10"/>
      <c r="AD15" s="10"/>
      <c r="AE15" s="10"/>
      <c r="AF15" s="10"/>
      <c r="AG15" s="10"/>
      <c r="AH15" s="11"/>
      <c r="AI15" s="781"/>
      <c r="AJ15" s="784"/>
      <c r="AL15" s="784">
        <f>P15-AI15</f>
        <v>5000</v>
      </c>
      <c r="AN15" s="784"/>
      <c r="AT15" s="13"/>
      <c r="AU15" s="14"/>
      <c r="AV15" s="13"/>
      <c r="AW15" s="14"/>
      <c r="FR15" s="784"/>
      <c r="FS15" s="807"/>
    </row>
    <row r="16" spans="1:178" ht="60" customHeight="1" outlineLevel="1">
      <c r="A16" s="28">
        <v>3</v>
      </c>
      <c r="B16" s="294" t="s">
        <v>50</v>
      </c>
      <c r="C16" s="28" t="s">
        <v>42</v>
      </c>
      <c r="D16" s="293" t="s">
        <v>47</v>
      </c>
      <c r="E16" s="293"/>
      <c r="F16" s="293" t="s">
        <v>51</v>
      </c>
      <c r="G16" s="293" t="s">
        <v>52</v>
      </c>
      <c r="H16" s="298">
        <v>250000</v>
      </c>
      <c r="I16" s="298">
        <v>250000</v>
      </c>
      <c r="J16" s="298"/>
      <c r="K16" s="298">
        <v>100</v>
      </c>
      <c r="L16" s="300"/>
      <c r="M16" s="804">
        <f>N16+O16</f>
        <v>10000</v>
      </c>
      <c r="N16" s="804"/>
      <c r="O16" s="301">
        <f>P16+R16+Q16</f>
        <v>10000</v>
      </c>
      <c r="P16" s="300">
        <f>'[3]PL5 DOi Ung von DA NSTW (IN)'!CY27</f>
        <v>10000</v>
      </c>
      <c r="Q16" s="300"/>
      <c r="R16" s="300"/>
      <c r="S16" s="301">
        <f t="shared" si="4"/>
        <v>230000</v>
      </c>
      <c r="T16" s="301">
        <f>H16-I16</f>
        <v>0</v>
      </c>
      <c r="U16" s="301">
        <v>230000</v>
      </c>
      <c r="V16" s="299">
        <f t="shared" si="5"/>
        <v>19900</v>
      </c>
      <c r="W16" s="299">
        <v>19900</v>
      </c>
      <c r="X16" s="299">
        <v>19900</v>
      </c>
      <c r="Y16" s="299">
        <v>19900</v>
      </c>
      <c r="Z16" s="304"/>
      <c r="AA16" s="805"/>
      <c r="AB16" s="10"/>
      <c r="AC16" s="10"/>
      <c r="AD16" s="10"/>
      <c r="AE16" s="808"/>
      <c r="AF16" s="10"/>
      <c r="AG16" s="10"/>
      <c r="AH16" s="11"/>
      <c r="AJ16" s="784"/>
      <c r="AN16" s="784"/>
      <c r="AT16" s="13"/>
      <c r="AU16" s="14"/>
      <c r="AV16" s="13"/>
      <c r="AW16" s="14"/>
      <c r="FR16" s="784"/>
      <c r="FS16" s="806"/>
    </row>
    <row r="17" spans="1:175" ht="46.8" outlineLevel="1">
      <c r="A17" s="28">
        <v>4</v>
      </c>
      <c r="B17" s="291" t="s">
        <v>53</v>
      </c>
      <c r="C17" s="28" t="s">
        <v>42</v>
      </c>
      <c r="D17" s="293" t="s">
        <v>47</v>
      </c>
      <c r="E17" s="293"/>
      <c r="F17" s="293" t="s">
        <v>54</v>
      </c>
      <c r="G17" s="293" t="s">
        <v>55</v>
      </c>
      <c r="H17" s="299">
        <v>694057.18500000006</v>
      </c>
      <c r="I17" s="299">
        <v>694057.18500000006</v>
      </c>
      <c r="J17" s="299">
        <v>35500</v>
      </c>
      <c r="K17" s="299">
        <v>100</v>
      </c>
      <c r="L17" s="300"/>
      <c r="M17" s="804">
        <f>N17+O17</f>
        <v>100000</v>
      </c>
      <c r="N17" s="804"/>
      <c r="O17" s="301">
        <f>P17+R17+Q17</f>
        <v>100000</v>
      </c>
      <c r="P17" s="300">
        <f>'[3]PL7- Khoi cong moi 21-25(IN)'!AK44</f>
        <v>20000</v>
      </c>
      <c r="Q17" s="300"/>
      <c r="R17" s="300">
        <f>'[3]PL7- Khoi cong moi 21-25(IN)'!AM44</f>
        <v>80000</v>
      </c>
      <c r="S17" s="301">
        <f t="shared" si="4"/>
        <v>622000</v>
      </c>
      <c r="T17" s="301">
        <f>H17-I17</f>
        <v>0</v>
      </c>
      <c r="U17" s="301">
        <v>622000</v>
      </c>
      <c r="V17" s="299">
        <f t="shared" si="5"/>
        <v>36457.185000000056</v>
      </c>
      <c r="W17" s="299">
        <v>36457.185000000056</v>
      </c>
      <c r="X17" s="317">
        <v>36457.184999999998</v>
      </c>
      <c r="Y17" s="317">
        <v>36457.184999999998</v>
      </c>
      <c r="Z17" s="305"/>
      <c r="AA17" s="805"/>
      <c r="AB17" s="10"/>
      <c r="AC17" s="10"/>
      <c r="AD17" s="10"/>
      <c r="AE17" s="10"/>
      <c r="AF17" s="10"/>
      <c r="AG17" s="10"/>
      <c r="AH17" s="11"/>
      <c r="AJ17" s="784"/>
      <c r="AN17" s="784"/>
      <c r="AT17" s="13"/>
      <c r="AU17" s="14"/>
      <c r="AV17" s="13"/>
      <c r="AW17" s="14"/>
      <c r="FR17" s="784"/>
      <c r="FS17" s="806"/>
    </row>
    <row r="18" spans="1:175" ht="46.8" outlineLevel="1">
      <c r="A18" s="28">
        <v>5</v>
      </c>
      <c r="B18" s="291" t="s">
        <v>56</v>
      </c>
      <c r="C18" s="28" t="s">
        <v>42</v>
      </c>
      <c r="D18" s="293" t="s">
        <v>47</v>
      </c>
      <c r="E18" s="293"/>
      <c r="F18" s="293" t="s">
        <v>57</v>
      </c>
      <c r="G18" s="293" t="s">
        <v>58</v>
      </c>
      <c r="H18" s="299">
        <v>1199929</v>
      </c>
      <c r="I18" s="299">
        <v>399929</v>
      </c>
      <c r="J18" s="299">
        <v>17900</v>
      </c>
      <c r="K18" s="299">
        <v>3500</v>
      </c>
      <c r="L18" s="300"/>
      <c r="M18" s="804"/>
      <c r="N18" s="804"/>
      <c r="O18" s="301"/>
      <c r="P18" s="300"/>
      <c r="Q18" s="300"/>
      <c r="R18" s="300"/>
      <c r="S18" s="301">
        <f t="shared" si="4"/>
        <v>924300</v>
      </c>
      <c r="T18" s="301">
        <f>H18-I18</f>
        <v>800000</v>
      </c>
      <c r="U18" s="301">
        <v>124300</v>
      </c>
      <c r="V18" s="299">
        <f t="shared" si="5"/>
        <v>254229</v>
      </c>
      <c r="W18" s="299">
        <v>60000</v>
      </c>
      <c r="X18" s="299">
        <v>60000</v>
      </c>
      <c r="Y18" s="299">
        <v>60000</v>
      </c>
      <c r="Z18" s="305"/>
      <c r="AA18" s="805"/>
      <c r="AB18" s="10"/>
      <c r="AC18" s="10"/>
      <c r="AD18" s="10"/>
      <c r="AE18" s="10"/>
      <c r="AF18" s="10"/>
      <c r="AG18" s="10"/>
      <c r="AH18" s="11"/>
      <c r="AJ18" s="784"/>
      <c r="AN18" s="784"/>
      <c r="AT18" s="13"/>
      <c r="AU18" s="14"/>
      <c r="AV18" s="13"/>
      <c r="AW18" s="14"/>
      <c r="FR18" s="784"/>
      <c r="FS18" s="806"/>
    </row>
    <row r="19" spans="1:175" ht="46.8" outlineLevel="1">
      <c r="A19" s="28">
        <v>6</v>
      </c>
      <c r="B19" s="291" t="s">
        <v>59</v>
      </c>
      <c r="C19" s="28" t="s">
        <v>42</v>
      </c>
      <c r="D19" s="293" t="s">
        <v>47</v>
      </c>
      <c r="E19" s="293"/>
      <c r="F19" s="293" t="s">
        <v>60</v>
      </c>
      <c r="G19" s="293" t="s">
        <v>61</v>
      </c>
      <c r="H19" s="299">
        <v>900000</v>
      </c>
      <c r="I19" s="299">
        <v>60000</v>
      </c>
      <c r="J19" s="299">
        <v>0</v>
      </c>
      <c r="K19" s="299"/>
      <c r="L19" s="300"/>
      <c r="M19" s="804"/>
      <c r="N19" s="804"/>
      <c r="O19" s="301"/>
      <c r="P19" s="300"/>
      <c r="Q19" s="300"/>
      <c r="R19" s="300"/>
      <c r="S19" s="301">
        <f t="shared" si="4"/>
        <v>631323</v>
      </c>
      <c r="T19" s="301">
        <f>840000-268677</f>
        <v>571323</v>
      </c>
      <c r="U19" s="301">
        <v>60000</v>
      </c>
      <c r="V19" s="299">
        <f t="shared" si="5"/>
        <v>268677</v>
      </c>
      <c r="W19" s="299">
        <v>130000</v>
      </c>
      <c r="X19" s="299">
        <v>130000</v>
      </c>
      <c r="Y19" s="299">
        <v>130000</v>
      </c>
      <c r="Z19" s="305"/>
      <c r="AA19" s="805"/>
      <c r="AB19" s="10"/>
      <c r="AC19" s="10"/>
      <c r="AD19" s="10"/>
      <c r="AE19" s="10"/>
      <c r="AF19" s="10"/>
      <c r="AG19" s="10"/>
      <c r="AH19" s="11"/>
      <c r="AJ19" s="784"/>
      <c r="AN19" s="784"/>
      <c r="AT19" s="13"/>
      <c r="AU19" s="14"/>
      <c r="AV19" s="13"/>
      <c r="AW19" s="14"/>
      <c r="FR19" s="784"/>
      <c r="FS19" s="806"/>
    </row>
    <row r="20" spans="1:175" ht="46.8" outlineLevel="1">
      <c r="A20" s="28">
        <v>7</v>
      </c>
      <c r="B20" s="291" t="s">
        <v>62</v>
      </c>
      <c r="C20" s="28" t="s">
        <v>42</v>
      </c>
      <c r="D20" s="293" t="s">
        <v>47</v>
      </c>
      <c r="E20" s="293"/>
      <c r="F20" s="293" t="s">
        <v>63</v>
      </c>
      <c r="G20" s="293" t="s">
        <v>64</v>
      </c>
      <c r="H20" s="299">
        <v>350000</v>
      </c>
      <c r="I20" s="299">
        <v>350000</v>
      </c>
      <c r="J20" s="299"/>
      <c r="K20" s="299">
        <v>580</v>
      </c>
      <c r="L20" s="300"/>
      <c r="M20" s="804"/>
      <c r="N20" s="804"/>
      <c r="O20" s="301"/>
      <c r="P20" s="300"/>
      <c r="Q20" s="300"/>
      <c r="R20" s="300"/>
      <c r="S20" s="301">
        <f t="shared" si="4"/>
        <v>100000</v>
      </c>
      <c r="T20" s="301"/>
      <c r="U20" s="301">
        <v>100000</v>
      </c>
      <c r="V20" s="299">
        <f t="shared" si="5"/>
        <v>249420</v>
      </c>
      <c r="W20" s="299">
        <v>240000</v>
      </c>
      <c r="X20" s="299">
        <v>150000</v>
      </c>
      <c r="Y20" s="299">
        <v>75000</v>
      </c>
      <c r="Z20" s="305"/>
      <c r="AA20" s="805"/>
      <c r="AB20" s="10"/>
      <c r="AC20" s="10"/>
      <c r="AD20" s="10"/>
      <c r="AE20" s="10"/>
      <c r="AF20" s="10"/>
      <c r="AG20" s="10"/>
      <c r="AH20" s="11"/>
      <c r="AJ20" s="784"/>
      <c r="AN20" s="784"/>
      <c r="AT20" s="13"/>
      <c r="AU20" s="14"/>
      <c r="AV20" s="13"/>
      <c r="AW20" s="14"/>
      <c r="FR20" s="784"/>
      <c r="FS20" s="806"/>
    </row>
    <row r="21" spans="1:175" ht="46.8" outlineLevel="1">
      <c r="A21" s="28">
        <v>8</v>
      </c>
      <c r="B21" s="291" t="s">
        <v>65</v>
      </c>
      <c r="C21" s="28" t="s">
        <v>42</v>
      </c>
      <c r="D21" s="293" t="s">
        <v>47</v>
      </c>
      <c r="E21" s="293"/>
      <c r="F21" s="293" t="s">
        <v>63</v>
      </c>
      <c r="G21" s="293" t="s">
        <v>66</v>
      </c>
      <c r="H21" s="299">
        <v>2199000</v>
      </c>
      <c r="I21" s="299">
        <v>2199000</v>
      </c>
      <c r="J21" s="299"/>
      <c r="K21" s="299">
        <v>1460</v>
      </c>
      <c r="L21" s="300"/>
      <c r="M21" s="804"/>
      <c r="N21" s="804"/>
      <c r="O21" s="301"/>
      <c r="P21" s="300"/>
      <c r="Q21" s="300"/>
      <c r="R21" s="300"/>
      <c r="S21" s="301">
        <f t="shared" si="4"/>
        <v>400000</v>
      </c>
      <c r="T21" s="301"/>
      <c r="U21" s="301">
        <v>400000</v>
      </c>
      <c r="V21" s="299">
        <f t="shared" si="5"/>
        <v>1797540</v>
      </c>
      <c r="W21" s="299">
        <v>1700000</v>
      </c>
      <c r="X21" s="299">
        <v>400000</v>
      </c>
      <c r="Y21" s="299">
        <v>80000</v>
      </c>
      <c r="Z21" s="305"/>
      <c r="AA21" s="805"/>
      <c r="AB21" s="10"/>
      <c r="AC21" s="10"/>
      <c r="AD21" s="10"/>
      <c r="AE21" s="10"/>
      <c r="AF21" s="10"/>
      <c r="AG21" s="10"/>
      <c r="AH21" s="11"/>
      <c r="AJ21" s="784"/>
      <c r="AN21" s="784"/>
      <c r="AT21" s="13"/>
      <c r="AU21" s="14"/>
      <c r="AV21" s="13"/>
      <c r="AW21" s="14"/>
      <c r="FR21" s="784"/>
      <c r="FS21" s="806"/>
    </row>
    <row r="22" spans="1:175" ht="46.8" outlineLevel="1">
      <c r="A22" s="28">
        <v>9</v>
      </c>
      <c r="B22" s="291" t="s">
        <v>67</v>
      </c>
      <c r="C22" s="28" t="s">
        <v>42</v>
      </c>
      <c r="D22" s="293" t="s">
        <v>47</v>
      </c>
      <c r="E22" s="293"/>
      <c r="F22" s="293" t="s">
        <v>68</v>
      </c>
      <c r="G22" s="293" t="s">
        <v>69</v>
      </c>
      <c r="H22" s="299">
        <v>239400</v>
      </c>
      <c r="I22" s="299">
        <v>159400</v>
      </c>
      <c r="J22" s="299">
        <v>80000</v>
      </c>
      <c r="K22" s="299"/>
      <c r="L22" s="300"/>
      <c r="M22" s="804"/>
      <c r="N22" s="804"/>
      <c r="O22" s="301"/>
      <c r="P22" s="300"/>
      <c r="Q22" s="300"/>
      <c r="R22" s="300"/>
      <c r="S22" s="301">
        <f t="shared" si="4"/>
        <v>5000</v>
      </c>
      <c r="T22" s="301"/>
      <c r="U22" s="301">
        <v>5000</v>
      </c>
      <c r="V22" s="299">
        <f t="shared" si="5"/>
        <v>154400</v>
      </c>
      <c r="W22" s="299">
        <v>35000</v>
      </c>
      <c r="X22" s="299">
        <v>35000</v>
      </c>
      <c r="Y22" s="299">
        <v>35000</v>
      </c>
      <c r="Z22" s="305"/>
      <c r="AA22" s="805"/>
      <c r="AB22" s="10"/>
      <c r="AC22" s="10"/>
      <c r="AD22" s="10"/>
      <c r="AE22" s="10"/>
      <c r="AF22" s="10"/>
      <c r="AG22" s="10"/>
      <c r="AH22" s="11"/>
      <c r="AJ22" s="784"/>
      <c r="AN22" s="784"/>
      <c r="AT22" s="13"/>
      <c r="AU22" s="14"/>
      <c r="AV22" s="13"/>
      <c r="AW22" s="14"/>
      <c r="FR22" s="784"/>
      <c r="FS22" s="806"/>
    </row>
    <row r="23" spans="1:175" ht="46.8" outlineLevel="1">
      <c r="A23" s="28">
        <v>10</v>
      </c>
      <c r="B23" s="291" t="s">
        <v>70</v>
      </c>
      <c r="C23" s="28" t="s">
        <v>42</v>
      </c>
      <c r="D23" s="293" t="s">
        <v>47</v>
      </c>
      <c r="E23" s="293"/>
      <c r="F23" s="293" t="s">
        <v>71</v>
      </c>
      <c r="G23" s="293" t="s">
        <v>72</v>
      </c>
      <c r="H23" s="299">
        <v>1113277</v>
      </c>
      <c r="I23" s="299" t="s">
        <v>73</v>
      </c>
      <c r="J23" s="299">
        <v>781167</v>
      </c>
      <c r="K23" s="299">
        <v>650</v>
      </c>
      <c r="L23" s="300"/>
      <c r="M23" s="804"/>
      <c r="N23" s="804"/>
      <c r="O23" s="301"/>
      <c r="P23" s="300"/>
      <c r="Q23" s="300"/>
      <c r="R23" s="300"/>
      <c r="S23" s="301">
        <f t="shared" si="4"/>
        <v>50000</v>
      </c>
      <c r="T23" s="301"/>
      <c r="U23" s="301">
        <f>831167-J23</f>
        <v>50000</v>
      </c>
      <c r="V23" s="299">
        <f t="shared" si="5"/>
        <v>281460</v>
      </c>
      <c r="W23" s="299">
        <v>8000</v>
      </c>
      <c r="X23" s="299">
        <v>8000</v>
      </c>
      <c r="Y23" s="299">
        <v>8000</v>
      </c>
      <c r="Z23" s="305"/>
      <c r="AA23" s="805"/>
      <c r="AB23" s="10"/>
      <c r="AC23" s="10"/>
      <c r="AD23" s="10"/>
      <c r="AE23" s="10"/>
      <c r="AF23" s="10"/>
      <c r="AG23" s="10"/>
      <c r="AH23" s="11"/>
      <c r="AJ23" s="784"/>
      <c r="AN23" s="784"/>
      <c r="AT23" s="13"/>
      <c r="AU23" s="14"/>
      <c r="AV23" s="13"/>
      <c r="AW23" s="14"/>
      <c r="FR23" s="784"/>
      <c r="FS23" s="806"/>
    </row>
    <row r="24" spans="1:175" ht="46.8" outlineLevel="1">
      <c r="A24" s="28">
        <v>11</v>
      </c>
      <c r="B24" s="291" t="s">
        <v>74</v>
      </c>
      <c r="C24" s="28" t="s">
        <v>42</v>
      </c>
      <c r="D24" s="293" t="s">
        <v>47</v>
      </c>
      <c r="E24" s="293"/>
      <c r="F24" s="293" t="s">
        <v>75</v>
      </c>
      <c r="G24" s="293" t="s">
        <v>76</v>
      </c>
      <c r="H24" s="299">
        <v>146876</v>
      </c>
      <c r="I24" s="299">
        <v>97728</v>
      </c>
      <c r="J24" s="299">
        <v>49148</v>
      </c>
      <c r="K24" s="299">
        <v>600</v>
      </c>
      <c r="L24" s="300"/>
      <c r="M24" s="804"/>
      <c r="N24" s="804"/>
      <c r="O24" s="301"/>
      <c r="P24" s="300"/>
      <c r="Q24" s="300"/>
      <c r="R24" s="300"/>
      <c r="S24" s="301">
        <f t="shared" si="4"/>
        <v>65000</v>
      </c>
      <c r="T24" s="301"/>
      <c r="U24" s="301">
        <v>65000</v>
      </c>
      <c r="V24" s="299">
        <f t="shared" si="5"/>
        <v>32128</v>
      </c>
      <c r="W24" s="299">
        <v>9000</v>
      </c>
      <c r="X24" s="299">
        <f>W24</f>
        <v>9000</v>
      </c>
      <c r="Y24" s="299">
        <v>9000</v>
      </c>
      <c r="Z24" s="305"/>
      <c r="AA24" s="805"/>
      <c r="AB24" s="10"/>
      <c r="AC24" s="10"/>
      <c r="AD24" s="10"/>
      <c r="AE24" s="10"/>
      <c r="AF24" s="10"/>
      <c r="AG24" s="10"/>
      <c r="AH24" s="11"/>
      <c r="AJ24" s="784"/>
      <c r="AN24" s="784"/>
      <c r="AT24" s="13"/>
      <c r="AU24" s="14"/>
      <c r="AV24" s="13"/>
      <c r="AW24" s="14"/>
      <c r="FR24" s="784"/>
      <c r="FS24" s="806"/>
    </row>
    <row r="25" spans="1:175" ht="62.4" outlineLevel="1">
      <c r="A25" s="28">
        <v>12</v>
      </c>
      <c r="B25" s="291" t="s">
        <v>77</v>
      </c>
      <c r="C25" s="28" t="s">
        <v>42</v>
      </c>
      <c r="D25" s="293" t="s">
        <v>47</v>
      </c>
      <c r="E25" s="293"/>
      <c r="F25" s="293" t="s">
        <v>78</v>
      </c>
      <c r="G25" s="293" t="s">
        <v>79</v>
      </c>
      <c r="H25" s="299">
        <v>446978</v>
      </c>
      <c r="I25" s="299">
        <v>146978</v>
      </c>
      <c r="J25" s="299">
        <v>333577</v>
      </c>
      <c r="K25" s="299"/>
      <c r="L25" s="300"/>
      <c r="M25" s="804"/>
      <c r="N25" s="804"/>
      <c r="O25" s="301"/>
      <c r="P25" s="300"/>
      <c r="Q25" s="300"/>
      <c r="R25" s="300"/>
      <c r="S25" s="301">
        <f t="shared" si="4"/>
        <v>5000</v>
      </c>
      <c r="T25" s="301"/>
      <c r="U25" s="301">
        <v>5000</v>
      </c>
      <c r="V25" s="299">
        <f t="shared" si="5"/>
        <v>108401</v>
      </c>
      <c r="W25" s="299">
        <v>8000</v>
      </c>
      <c r="X25" s="299">
        <f>W25</f>
        <v>8000</v>
      </c>
      <c r="Y25" s="299">
        <v>8000</v>
      </c>
      <c r="Z25" s="305"/>
      <c r="AA25" s="805"/>
      <c r="AB25" s="10"/>
      <c r="AC25" s="10"/>
      <c r="AD25" s="10"/>
      <c r="AE25" s="10"/>
      <c r="AF25" s="10"/>
      <c r="AG25" s="10"/>
      <c r="AH25" s="11"/>
      <c r="AJ25" s="784"/>
      <c r="AN25" s="784"/>
      <c r="AT25" s="13"/>
      <c r="AU25" s="14"/>
      <c r="AV25" s="13"/>
      <c r="AW25" s="14"/>
      <c r="FR25" s="784"/>
      <c r="FS25" s="806"/>
    </row>
    <row r="26" spans="1:175" ht="46.8" outlineLevel="1">
      <c r="A26" s="28">
        <v>13</v>
      </c>
      <c r="B26" s="291" t="s">
        <v>80</v>
      </c>
      <c r="C26" s="28" t="s">
        <v>42</v>
      </c>
      <c r="D26" s="293" t="s">
        <v>47</v>
      </c>
      <c r="E26" s="293"/>
      <c r="F26" s="293" t="s">
        <v>81</v>
      </c>
      <c r="G26" s="293" t="s">
        <v>82</v>
      </c>
      <c r="H26" s="299">
        <v>397712</v>
      </c>
      <c r="I26" s="299">
        <v>190000</v>
      </c>
      <c r="J26" s="299">
        <v>276824</v>
      </c>
      <c r="K26" s="299"/>
      <c r="L26" s="300"/>
      <c r="M26" s="804"/>
      <c r="N26" s="804"/>
      <c r="O26" s="301"/>
      <c r="P26" s="300"/>
      <c r="Q26" s="300"/>
      <c r="R26" s="300"/>
      <c r="S26" s="301">
        <f t="shared" si="4"/>
        <v>40000</v>
      </c>
      <c r="T26" s="301"/>
      <c r="U26" s="301">
        <v>40000</v>
      </c>
      <c r="V26" s="299">
        <f t="shared" si="5"/>
        <v>80888</v>
      </c>
      <c r="W26" s="299">
        <v>20000</v>
      </c>
      <c r="X26" s="299">
        <v>20000</v>
      </c>
      <c r="Y26" s="299">
        <v>20000</v>
      </c>
      <c r="Z26" s="305"/>
      <c r="AA26" s="805"/>
      <c r="AB26" s="10"/>
      <c r="AC26" s="10"/>
      <c r="AD26" s="10"/>
      <c r="AE26" s="10"/>
      <c r="AF26" s="10"/>
      <c r="AG26" s="10"/>
      <c r="AH26" s="11"/>
      <c r="AJ26" s="784"/>
      <c r="AN26" s="784"/>
      <c r="AT26" s="13"/>
      <c r="AU26" s="14"/>
      <c r="AV26" s="13"/>
      <c r="AW26" s="14"/>
      <c r="FR26" s="784"/>
      <c r="FS26" s="806"/>
    </row>
    <row r="27" spans="1:175" ht="46.8" outlineLevel="1">
      <c r="A27" s="28">
        <v>14</v>
      </c>
      <c r="B27" s="291" t="s">
        <v>83</v>
      </c>
      <c r="C27" s="28" t="s">
        <v>42</v>
      </c>
      <c r="D27" s="293" t="s">
        <v>84</v>
      </c>
      <c r="E27" s="293"/>
      <c r="F27" s="293" t="s">
        <v>85</v>
      </c>
      <c r="G27" s="293" t="s">
        <v>86</v>
      </c>
      <c r="H27" s="299">
        <v>35000</v>
      </c>
      <c r="I27" s="299">
        <v>35000</v>
      </c>
      <c r="J27" s="299">
        <v>0</v>
      </c>
      <c r="K27" s="299">
        <v>100</v>
      </c>
      <c r="L27" s="300"/>
      <c r="M27" s="804"/>
      <c r="N27" s="804"/>
      <c r="O27" s="301"/>
      <c r="P27" s="300"/>
      <c r="Q27" s="300"/>
      <c r="R27" s="300"/>
      <c r="S27" s="301">
        <f t="shared" si="4"/>
        <v>0</v>
      </c>
      <c r="T27" s="301"/>
      <c r="U27" s="301">
        <v>0</v>
      </c>
      <c r="V27" s="299">
        <f t="shared" si="5"/>
        <v>34900</v>
      </c>
      <c r="W27" s="299">
        <v>26000</v>
      </c>
      <c r="X27" s="299">
        <v>26000</v>
      </c>
      <c r="Y27" s="299">
        <v>18000</v>
      </c>
      <c r="Z27" s="305"/>
      <c r="AA27" s="805"/>
      <c r="AB27" s="10"/>
      <c r="AC27" s="10"/>
      <c r="AD27" s="10"/>
      <c r="AE27" s="10"/>
      <c r="AF27" s="10"/>
      <c r="AG27" s="10"/>
      <c r="AH27" s="11"/>
      <c r="AJ27" s="784"/>
      <c r="AN27" s="784"/>
      <c r="AT27" s="13"/>
      <c r="AU27" s="14"/>
      <c r="AV27" s="13"/>
      <c r="AW27" s="14"/>
      <c r="FR27" s="784"/>
      <c r="FS27" s="806"/>
    </row>
    <row r="28" spans="1:175" ht="46.8" outlineLevel="1">
      <c r="A28" s="28">
        <v>15</v>
      </c>
      <c r="B28" s="291" t="s">
        <v>87</v>
      </c>
      <c r="C28" s="28" t="s">
        <v>42</v>
      </c>
      <c r="D28" s="293" t="s">
        <v>47</v>
      </c>
      <c r="E28" s="293"/>
      <c r="F28" s="293" t="s">
        <v>54</v>
      </c>
      <c r="G28" s="293" t="s">
        <v>88</v>
      </c>
      <c r="H28" s="299">
        <v>99000</v>
      </c>
      <c r="I28" s="299">
        <v>99000</v>
      </c>
      <c r="J28" s="299"/>
      <c r="K28" s="299">
        <v>125</v>
      </c>
      <c r="L28" s="300"/>
      <c r="M28" s="804">
        <f t="shared" ref="M28:M43" si="6">N28+O28</f>
        <v>70000</v>
      </c>
      <c r="N28" s="804"/>
      <c r="O28" s="301">
        <v>70000</v>
      </c>
      <c r="P28" s="300"/>
      <c r="Q28" s="300"/>
      <c r="R28" s="300"/>
      <c r="S28" s="301">
        <f t="shared" si="4"/>
        <v>70000</v>
      </c>
      <c r="T28" s="301"/>
      <c r="U28" s="301">
        <v>70000</v>
      </c>
      <c r="V28" s="299">
        <f t="shared" ref="V28:V43" si="7">I28-J28-K28-U28</f>
        <v>28875</v>
      </c>
      <c r="W28" s="299">
        <v>28875</v>
      </c>
      <c r="X28" s="299">
        <v>28875</v>
      </c>
      <c r="Y28" s="809">
        <v>28875</v>
      </c>
      <c r="Z28" s="305"/>
      <c r="AA28" s="805"/>
      <c r="AB28" s="10"/>
      <c r="AC28" s="10"/>
      <c r="AD28" s="10"/>
      <c r="AE28" s="10"/>
      <c r="AF28" s="10"/>
      <c r="AG28" s="10"/>
      <c r="AH28" s="11"/>
      <c r="AJ28" s="784"/>
      <c r="AN28" s="784"/>
      <c r="AT28" s="13"/>
      <c r="AU28" s="14"/>
      <c r="AV28" s="13"/>
      <c r="AW28" s="14"/>
      <c r="FR28" s="784"/>
      <c r="FS28" s="806"/>
    </row>
    <row r="29" spans="1:175" ht="46.8" outlineLevel="1">
      <c r="A29" s="28">
        <v>16</v>
      </c>
      <c r="B29" s="291" t="s">
        <v>89</v>
      </c>
      <c r="C29" s="28" t="s">
        <v>42</v>
      </c>
      <c r="D29" s="293" t="s">
        <v>84</v>
      </c>
      <c r="E29" s="293"/>
      <c r="F29" s="293" t="s">
        <v>54</v>
      </c>
      <c r="G29" s="293" t="s">
        <v>90</v>
      </c>
      <c r="H29" s="299">
        <v>60000</v>
      </c>
      <c r="I29" s="299">
        <v>60000</v>
      </c>
      <c r="J29" s="299"/>
      <c r="K29" s="299"/>
      <c r="L29" s="300"/>
      <c r="M29" s="804">
        <f t="shared" si="6"/>
        <v>5426.5</v>
      </c>
      <c r="N29" s="804"/>
      <c r="O29" s="301">
        <v>5426.5</v>
      </c>
      <c r="P29" s="300"/>
      <c r="Q29" s="300"/>
      <c r="R29" s="300"/>
      <c r="S29" s="301">
        <f t="shared" si="4"/>
        <v>5426.5</v>
      </c>
      <c r="T29" s="301"/>
      <c r="U29" s="301">
        <v>5426.5</v>
      </c>
      <c r="V29" s="299">
        <f t="shared" si="7"/>
        <v>54573.5</v>
      </c>
      <c r="W29" s="299">
        <v>54573.5</v>
      </c>
      <c r="X29" s="299">
        <v>54573.5</v>
      </c>
      <c r="Y29" s="299">
        <v>54573.5</v>
      </c>
      <c r="Z29" s="305"/>
      <c r="AA29" s="805"/>
      <c r="AB29" s="10"/>
      <c r="AC29" s="10"/>
      <c r="AD29" s="10"/>
      <c r="AE29" s="10"/>
      <c r="AF29" s="10"/>
      <c r="AG29" s="10"/>
      <c r="AH29" s="11"/>
      <c r="AJ29" s="784"/>
      <c r="AN29" s="784"/>
      <c r="AT29" s="13"/>
      <c r="AU29" s="14"/>
      <c r="AV29" s="13"/>
      <c r="AW29" s="14"/>
      <c r="FR29" s="784"/>
      <c r="FS29" s="806"/>
    </row>
    <row r="30" spans="1:175" ht="46.8" outlineLevel="1">
      <c r="A30" s="28">
        <v>17</v>
      </c>
      <c r="B30" s="291" t="s">
        <v>93</v>
      </c>
      <c r="C30" s="28" t="s">
        <v>42</v>
      </c>
      <c r="D30" s="293" t="s">
        <v>84</v>
      </c>
      <c r="E30" s="293"/>
      <c r="F30" s="293" t="s">
        <v>57</v>
      </c>
      <c r="G30" s="293" t="s">
        <v>94</v>
      </c>
      <c r="H30" s="299">
        <v>48000</v>
      </c>
      <c r="I30" s="299">
        <v>48000</v>
      </c>
      <c r="J30" s="299">
        <v>20000</v>
      </c>
      <c r="K30" s="299"/>
      <c r="L30" s="300"/>
      <c r="M30" s="804">
        <f t="shared" si="6"/>
        <v>20100</v>
      </c>
      <c r="N30" s="804"/>
      <c r="O30" s="301">
        <v>20100</v>
      </c>
      <c r="P30" s="300"/>
      <c r="Q30" s="300"/>
      <c r="R30" s="300"/>
      <c r="S30" s="301">
        <f t="shared" si="4"/>
        <v>100</v>
      </c>
      <c r="T30" s="301"/>
      <c r="U30" s="301">
        <v>100</v>
      </c>
      <c r="V30" s="299">
        <f t="shared" si="7"/>
        <v>27900</v>
      </c>
      <c r="W30" s="299">
        <v>18000</v>
      </c>
      <c r="X30" s="299">
        <v>18000</v>
      </c>
      <c r="Y30" s="299">
        <v>18000</v>
      </c>
      <c r="Z30" s="305"/>
      <c r="AA30" s="805"/>
      <c r="AB30" s="10"/>
      <c r="AC30" s="10"/>
      <c r="AD30" s="10"/>
      <c r="AE30" s="10"/>
      <c r="AF30" s="10"/>
      <c r="AG30" s="10"/>
      <c r="AH30" s="11"/>
      <c r="AJ30" s="784"/>
      <c r="AN30" s="784"/>
      <c r="AT30" s="13"/>
      <c r="AU30" s="14"/>
      <c r="AV30" s="13"/>
      <c r="AW30" s="14"/>
      <c r="FR30" s="784"/>
      <c r="FS30" s="806"/>
    </row>
    <row r="31" spans="1:175" ht="46.8" outlineLevel="1">
      <c r="A31" s="28">
        <v>18</v>
      </c>
      <c r="B31" s="291" t="s">
        <v>95</v>
      </c>
      <c r="C31" s="28" t="s">
        <v>42</v>
      </c>
      <c r="D31" s="293" t="s">
        <v>84</v>
      </c>
      <c r="E31" s="293"/>
      <c r="F31" s="293" t="s">
        <v>92</v>
      </c>
      <c r="G31" s="293" t="s">
        <v>96</v>
      </c>
      <c r="H31" s="299">
        <v>65000</v>
      </c>
      <c r="I31" s="299">
        <v>65000</v>
      </c>
      <c r="J31" s="299"/>
      <c r="K31" s="299">
        <v>100</v>
      </c>
      <c r="L31" s="300"/>
      <c r="M31" s="804">
        <f t="shared" si="6"/>
        <v>4000</v>
      </c>
      <c r="N31" s="804"/>
      <c r="O31" s="301">
        <v>4000</v>
      </c>
      <c r="P31" s="300"/>
      <c r="Q31" s="300"/>
      <c r="R31" s="300"/>
      <c r="S31" s="301">
        <f t="shared" si="4"/>
        <v>4000</v>
      </c>
      <c r="T31" s="301"/>
      <c r="U31" s="301">
        <v>4000</v>
      </c>
      <c r="V31" s="299">
        <f t="shared" si="7"/>
        <v>60900</v>
      </c>
      <c r="W31" s="299">
        <v>60900</v>
      </c>
      <c r="X31" s="299">
        <v>40000</v>
      </c>
      <c r="Y31" s="299">
        <v>20000</v>
      </c>
      <c r="Z31" s="305"/>
      <c r="AA31" s="805"/>
      <c r="AB31" s="10"/>
      <c r="AC31" s="10"/>
      <c r="AD31" s="10"/>
      <c r="AE31" s="10"/>
      <c r="AF31" s="10"/>
      <c r="AG31" s="10"/>
      <c r="AH31" s="11"/>
      <c r="AJ31" s="784"/>
      <c r="AN31" s="784"/>
      <c r="AT31" s="13"/>
      <c r="AU31" s="14"/>
      <c r="AV31" s="13"/>
      <c r="AW31" s="14"/>
      <c r="FR31" s="784"/>
      <c r="FS31" s="806"/>
    </row>
    <row r="32" spans="1:175" ht="46.8" outlineLevel="1">
      <c r="A32" s="28">
        <v>19</v>
      </c>
      <c r="B32" s="291" t="s">
        <v>97</v>
      </c>
      <c r="C32" s="28" t="s">
        <v>42</v>
      </c>
      <c r="D32" s="293" t="s">
        <v>84</v>
      </c>
      <c r="E32" s="293"/>
      <c r="F32" s="293" t="s">
        <v>92</v>
      </c>
      <c r="G32" s="293" t="s">
        <v>98</v>
      </c>
      <c r="H32" s="299">
        <v>40000</v>
      </c>
      <c r="I32" s="299">
        <v>40000</v>
      </c>
      <c r="J32" s="299"/>
      <c r="K32" s="299">
        <v>100</v>
      </c>
      <c r="L32" s="300"/>
      <c r="M32" s="804">
        <f t="shared" si="6"/>
        <v>4000</v>
      </c>
      <c r="N32" s="804"/>
      <c r="O32" s="301">
        <v>4000</v>
      </c>
      <c r="P32" s="300"/>
      <c r="Q32" s="300"/>
      <c r="R32" s="300"/>
      <c r="S32" s="301">
        <f t="shared" si="4"/>
        <v>4000</v>
      </c>
      <c r="T32" s="301"/>
      <c r="U32" s="301">
        <v>4000</v>
      </c>
      <c r="V32" s="299">
        <f t="shared" si="7"/>
        <v>35900</v>
      </c>
      <c r="W32" s="299">
        <v>35900</v>
      </c>
      <c r="X32" s="299">
        <v>35900</v>
      </c>
      <c r="Y32" s="299">
        <v>26500</v>
      </c>
      <c r="Z32" s="305"/>
      <c r="AA32" s="805"/>
      <c r="AB32" s="10"/>
      <c r="AC32" s="10"/>
      <c r="AD32" s="10"/>
      <c r="AE32" s="10"/>
      <c r="AF32" s="10"/>
      <c r="AG32" s="10"/>
      <c r="AH32" s="11"/>
      <c r="AJ32" s="784"/>
      <c r="AN32" s="784"/>
      <c r="AT32" s="13"/>
      <c r="AU32" s="14"/>
      <c r="AV32" s="13"/>
      <c r="AW32" s="14"/>
      <c r="FR32" s="784"/>
      <c r="FS32" s="806"/>
    </row>
    <row r="33" spans="1:176" ht="62.4" outlineLevel="1">
      <c r="A33" s="28">
        <v>20</v>
      </c>
      <c r="B33" s="291" t="s">
        <v>99</v>
      </c>
      <c r="C33" s="28" t="s">
        <v>42</v>
      </c>
      <c r="D33" s="293" t="s">
        <v>100</v>
      </c>
      <c r="E33" s="293"/>
      <c r="F33" s="293" t="s">
        <v>54</v>
      </c>
      <c r="G33" s="293" t="s">
        <v>101</v>
      </c>
      <c r="H33" s="299">
        <v>20000</v>
      </c>
      <c r="I33" s="299">
        <v>20000</v>
      </c>
      <c r="J33" s="299"/>
      <c r="K33" s="299"/>
      <c r="L33" s="300"/>
      <c r="M33" s="804">
        <f t="shared" si="6"/>
        <v>13106</v>
      </c>
      <c r="N33" s="804"/>
      <c r="O33" s="301">
        <v>13106</v>
      </c>
      <c r="P33" s="300"/>
      <c r="Q33" s="300"/>
      <c r="R33" s="300"/>
      <c r="S33" s="301">
        <f t="shared" si="4"/>
        <v>13106</v>
      </c>
      <c r="T33" s="301"/>
      <c r="U33" s="301">
        <v>13106</v>
      </c>
      <c r="V33" s="299">
        <f t="shared" si="7"/>
        <v>6894</v>
      </c>
      <c r="W33" s="299">
        <v>6894</v>
      </c>
      <c r="X33" s="299">
        <v>6894</v>
      </c>
      <c r="Y33" s="299">
        <v>6894</v>
      </c>
      <c r="Z33" s="305"/>
      <c r="AA33" s="805"/>
      <c r="AB33" s="10"/>
      <c r="AC33" s="10"/>
      <c r="AD33" s="10"/>
      <c r="AE33" s="10"/>
      <c r="AF33" s="10"/>
      <c r="AG33" s="10"/>
      <c r="AH33" s="11"/>
      <c r="AJ33" s="784"/>
      <c r="AN33" s="784"/>
      <c r="AT33" s="13"/>
      <c r="AU33" s="14"/>
      <c r="AV33" s="13"/>
      <c r="AW33" s="14"/>
      <c r="FR33" s="784"/>
      <c r="FS33" s="806"/>
    </row>
    <row r="34" spans="1:176" ht="46.8" outlineLevel="1">
      <c r="A34" s="28">
        <v>21</v>
      </c>
      <c r="B34" s="291" t="s">
        <v>102</v>
      </c>
      <c r="C34" s="28" t="s">
        <v>42</v>
      </c>
      <c r="D34" s="293" t="s">
        <v>103</v>
      </c>
      <c r="E34" s="293"/>
      <c r="F34" s="293" t="s">
        <v>104</v>
      </c>
      <c r="G34" s="293" t="s">
        <v>105</v>
      </c>
      <c r="H34" s="299">
        <v>350000</v>
      </c>
      <c r="I34" s="299">
        <v>350000</v>
      </c>
      <c r="J34" s="299">
        <v>1611</v>
      </c>
      <c r="K34" s="299">
        <v>100</v>
      </c>
      <c r="L34" s="300"/>
      <c r="M34" s="804">
        <f t="shared" si="6"/>
        <v>248447</v>
      </c>
      <c r="N34" s="804"/>
      <c r="O34" s="301">
        <v>248447</v>
      </c>
      <c r="P34" s="300"/>
      <c r="Q34" s="300"/>
      <c r="R34" s="300"/>
      <c r="S34" s="301">
        <f t="shared" si="4"/>
        <v>248447</v>
      </c>
      <c r="T34" s="301"/>
      <c r="U34" s="301">
        <v>248447</v>
      </c>
      <c r="V34" s="299">
        <f t="shared" si="7"/>
        <v>99842</v>
      </c>
      <c r="W34" s="299">
        <v>99842</v>
      </c>
      <c r="X34" s="299">
        <v>10000</v>
      </c>
      <c r="Y34" s="299">
        <v>8000</v>
      </c>
      <c r="Z34" s="305"/>
      <c r="AA34" s="805"/>
      <c r="AB34" s="10"/>
      <c r="AC34" s="10"/>
      <c r="AD34" s="10"/>
      <c r="AE34" s="10"/>
      <c r="AF34" s="10"/>
      <c r="AG34" s="10"/>
      <c r="AH34" s="11"/>
      <c r="AJ34" s="784"/>
      <c r="AN34" s="784"/>
      <c r="AT34" s="13"/>
      <c r="AU34" s="14"/>
      <c r="AV34" s="13"/>
      <c r="AW34" s="14"/>
      <c r="FR34" s="784"/>
      <c r="FS34" s="806"/>
    </row>
    <row r="35" spans="1:176" ht="46.8" outlineLevel="1">
      <c r="A35" s="28">
        <v>22</v>
      </c>
      <c r="B35" s="291" t="s">
        <v>106</v>
      </c>
      <c r="C35" s="28" t="s">
        <v>42</v>
      </c>
      <c r="D35" s="293" t="s">
        <v>100</v>
      </c>
      <c r="E35" s="293"/>
      <c r="F35" s="293" t="s">
        <v>92</v>
      </c>
      <c r="G35" s="293" t="s">
        <v>107</v>
      </c>
      <c r="H35" s="299">
        <v>12700</v>
      </c>
      <c r="I35" s="299">
        <v>12700</v>
      </c>
      <c r="J35" s="299"/>
      <c r="K35" s="299">
        <v>100</v>
      </c>
      <c r="L35" s="300"/>
      <c r="M35" s="804">
        <f t="shared" si="6"/>
        <v>4250</v>
      </c>
      <c r="N35" s="804"/>
      <c r="O35" s="301">
        <v>4250</v>
      </c>
      <c r="P35" s="300"/>
      <c r="Q35" s="300"/>
      <c r="R35" s="300"/>
      <c r="S35" s="301">
        <f t="shared" si="4"/>
        <v>4250</v>
      </c>
      <c r="T35" s="301"/>
      <c r="U35" s="301">
        <v>4250</v>
      </c>
      <c r="V35" s="299">
        <f t="shared" si="7"/>
        <v>8350</v>
      </c>
      <c r="W35" s="299">
        <v>8350</v>
      </c>
      <c r="X35" s="299">
        <v>8350</v>
      </c>
      <c r="Y35" s="299">
        <v>5000</v>
      </c>
      <c r="Z35" s="305"/>
      <c r="AA35" s="805"/>
      <c r="AB35" s="10"/>
      <c r="AC35" s="10"/>
      <c r="AD35" s="10"/>
      <c r="AE35" s="10"/>
      <c r="AF35" s="10"/>
      <c r="AG35" s="10"/>
      <c r="AH35" s="11"/>
      <c r="AJ35" s="784"/>
      <c r="AN35" s="784"/>
      <c r="AT35" s="13"/>
      <c r="AU35" s="14"/>
      <c r="AV35" s="13"/>
      <c r="AW35" s="14"/>
      <c r="FR35" s="784"/>
      <c r="FS35" s="806"/>
    </row>
    <row r="36" spans="1:176" ht="46.8" outlineLevel="1">
      <c r="A36" s="28">
        <v>23</v>
      </c>
      <c r="B36" s="291" t="s">
        <v>108</v>
      </c>
      <c r="C36" s="28" t="s">
        <v>42</v>
      </c>
      <c r="D36" s="293" t="s">
        <v>84</v>
      </c>
      <c r="E36" s="293"/>
      <c r="F36" s="293" t="s">
        <v>92</v>
      </c>
      <c r="G36" s="293" t="s">
        <v>109</v>
      </c>
      <c r="H36" s="299">
        <v>46000</v>
      </c>
      <c r="I36" s="299">
        <v>46000</v>
      </c>
      <c r="J36" s="299"/>
      <c r="K36" s="299">
        <v>200</v>
      </c>
      <c r="L36" s="300"/>
      <c r="M36" s="804">
        <f t="shared" si="6"/>
        <v>7000</v>
      </c>
      <c r="N36" s="804"/>
      <c r="O36" s="301">
        <v>7000</v>
      </c>
      <c r="P36" s="300"/>
      <c r="Q36" s="300"/>
      <c r="R36" s="300"/>
      <c r="S36" s="301">
        <f t="shared" si="4"/>
        <v>7000</v>
      </c>
      <c r="T36" s="301"/>
      <c r="U36" s="301">
        <v>7000</v>
      </c>
      <c r="V36" s="299">
        <f t="shared" si="7"/>
        <v>38800</v>
      </c>
      <c r="W36" s="299">
        <v>38800</v>
      </c>
      <c r="X36" s="299">
        <v>38800</v>
      </c>
      <c r="Y36" s="299">
        <v>27000</v>
      </c>
      <c r="Z36" s="305"/>
      <c r="AA36" s="805"/>
      <c r="AB36" s="10"/>
      <c r="AC36" s="10"/>
      <c r="AD36" s="10"/>
      <c r="AE36" s="10"/>
      <c r="AF36" s="10"/>
      <c r="AG36" s="10"/>
      <c r="AH36" s="11"/>
      <c r="AJ36" s="784"/>
      <c r="AN36" s="784"/>
      <c r="AT36" s="13"/>
      <c r="AU36" s="14"/>
      <c r="AV36" s="13"/>
      <c r="AW36" s="14"/>
      <c r="FR36" s="784"/>
      <c r="FS36" s="806"/>
    </row>
    <row r="37" spans="1:176" ht="46.8" outlineLevel="1">
      <c r="A37" s="28">
        <v>24</v>
      </c>
      <c r="B37" s="291" t="s">
        <v>110</v>
      </c>
      <c r="C37" s="28" t="s">
        <v>42</v>
      </c>
      <c r="D37" s="293" t="s">
        <v>47</v>
      </c>
      <c r="E37" s="293"/>
      <c r="F37" s="293" t="s">
        <v>91</v>
      </c>
      <c r="G37" s="293" t="s">
        <v>111</v>
      </c>
      <c r="H37" s="299">
        <v>90000</v>
      </c>
      <c r="I37" s="299">
        <v>90000</v>
      </c>
      <c r="J37" s="299"/>
      <c r="K37" s="299"/>
      <c r="L37" s="300"/>
      <c r="M37" s="804">
        <f t="shared" si="6"/>
        <v>70000</v>
      </c>
      <c r="N37" s="804"/>
      <c r="O37" s="301">
        <v>70000</v>
      </c>
      <c r="P37" s="300"/>
      <c r="Q37" s="300"/>
      <c r="R37" s="300"/>
      <c r="S37" s="301">
        <f t="shared" si="4"/>
        <v>70000</v>
      </c>
      <c r="T37" s="301"/>
      <c r="U37" s="301">
        <v>70000</v>
      </c>
      <c r="V37" s="299">
        <f t="shared" si="7"/>
        <v>20000</v>
      </c>
      <c r="W37" s="299">
        <v>45000</v>
      </c>
      <c r="X37" s="299">
        <v>45000</v>
      </c>
      <c r="Y37" s="299">
        <v>10000</v>
      </c>
      <c r="Z37" s="305"/>
      <c r="AA37" s="805"/>
      <c r="AB37" s="10"/>
      <c r="AC37" s="10"/>
      <c r="AD37" s="10"/>
      <c r="AE37" s="10"/>
      <c r="AF37" s="10"/>
      <c r="AG37" s="10"/>
      <c r="AH37" s="11"/>
      <c r="AJ37" s="784"/>
      <c r="AN37" s="784"/>
      <c r="AT37" s="13"/>
      <c r="AU37" s="14"/>
      <c r="AV37" s="13"/>
      <c r="AW37" s="14"/>
      <c r="FR37" s="784"/>
      <c r="FS37" s="806"/>
    </row>
    <row r="38" spans="1:176" ht="46.8" outlineLevel="1">
      <c r="A38" s="28">
        <v>25</v>
      </c>
      <c r="B38" s="291" t="s">
        <v>112</v>
      </c>
      <c r="C38" s="28" t="s">
        <v>42</v>
      </c>
      <c r="D38" s="293" t="s">
        <v>84</v>
      </c>
      <c r="E38" s="293"/>
      <c r="F38" s="293" t="s">
        <v>54</v>
      </c>
      <c r="G38" s="293" t="s">
        <v>113</v>
      </c>
      <c r="H38" s="299">
        <v>70000</v>
      </c>
      <c r="I38" s="299">
        <v>70000</v>
      </c>
      <c r="J38" s="299"/>
      <c r="K38" s="299"/>
      <c r="L38" s="300"/>
      <c r="M38" s="804">
        <f t="shared" si="6"/>
        <v>60000</v>
      </c>
      <c r="N38" s="804"/>
      <c r="O38" s="301">
        <v>60000</v>
      </c>
      <c r="P38" s="300"/>
      <c r="Q38" s="300"/>
      <c r="R38" s="300"/>
      <c r="S38" s="301">
        <f t="shared" si="4"/>
        <v>60000</v>
      </c>
      <c r="T38" s="301"/>
      <c r="U38" s="301">
        <v>60000</v>
      </c>
      <c r="V38" s="299">
        <f t="shared" si="7"/>
        <v>10000</v>
      </c>
      <c r="W38" s="299">
        <v>7000</v>
      </c>
      <c r="X38" s="299">
        <v>7000</v>
      </c>
      <c r="Y38" s="299">
        <v>7000</v>
      </c>
      <c r="Z38" s="305"/>
      <c r="AA38" s="805"/>
      <c r="AB38" s="10"/>
      <c r="AC38" s="10"/>
      <c r="AD38" s="10"/>
      <c r="AE38" s="10"/>
      <c r="AF38" s="10"/>
      <c r="AG38" s="10"/>
      <c r="AH38" s="11"/>
      <c r="AJ38" s="784"/>
      <c r="AN38" s="784"/>
      <c r="AT38" s="13"/>
      <c r="AU38" s="14"/>
      <c r="AV38" s="13"/>
      <c r="AW38" s="14"/>
      <c r="FR38" s="784"/>
      <c r="FS38" s="806"/>
    </row>
    <row r="39" spans="1:176" ht="46.8" outlineLevel="1">
      <c r="A39" s="28">
        <v>26</v>
      </c>
      <c r="B39" s="291" t="s">
        <v>114</v>
      </c>
      <c r="C39" s="28" t="s">
        <v>42</v>
      </c>
      <c r="D39" s="293" t="s">
        <v>84</v>
      </c>
      <c r="E39" s="293"/>
      <c r="F39" s="293" t="s">
        <v>54</v>
      </c>
      <c r="G39" s="293" t="s">
        <v>115</v>
      </c>
      <c r="H39" s="299">
        <v>72000</v>
      </c>
      <c r="I39" s="299">
        <v>72000</v>
      </c>
      <c r="J39" s="299"/>
      <c r="K39" s="299"/>
      <c r="L39" s="300"/>
      <c r="M39" s="804">
        <f t="shared" si="6"/>
        <v>60000</v>
      </c>
      <c r="N39" s="804"/>
      <c r="O39" s="301">
        <v>60000</v>
      </c>
      <c r="P39" s="300"/>
      <c r="Q39" s="300"/>
      <c r="R39" s="300"/>
      <c r="S39" s="301">
        <f t="shared" si="4"/>
        <v>60000</v>
      </c>
      <c r="T39" s="301"/>
      <c r="U39" s="301">
        <v>60000</v>
      </c>
      <c r="V39" s="299">
        <f t="shared" si="7"/>
        <v>12000</v>
      </c>
      <c r="W39" s="299">
        <v>5600</v>
      </c>
      <c r="X39" s="299">
        <v>5600</v>
      </c>
      <c r="Y39" s="299">
        <v>5600</v>
      </c>
      <c r="Z39" s="305"/>
      <c r="AA39" s="805"/>
      <c r="AB39" s="10"/>
      <c r="AC39" s="10"/>
      <c r="AD39" s="10"/>
      <c r="AE39" s="10"/>
      <c r="AF39" s="10"/>
      <c r="AG39" s="10"/>
      <c r="AH39" s="11"/>
      <c r="AJ39" s="784"/>
      <c r="AN39" s="784"/>
      <c r="AT39" s="13"/>
      <c r="AU39" s="14"/>
      <c r="AV39" s="13"/>
      <c r="AW39" s="14"/>
      <c r="FR39" s="784"/>
      <c r="FS39" s="806"/>
    </row>
    <row r="40" spans="1:176" ht="46.8" outlineLevel="1">
      <c r="A40" s="28">
        <v>27</v>
      </c>
      <c r="B40" s="291" t="s">
        <v>116</v>
      </c>
      <c r="C40" s="28" t="s">
        <v>42</v>
      </c>
      <c r="D40" s="293" t="s">
        <v>84</v>
      </c>
      <c r="E40" s="293"/>
      <c r="F40" s="293" t="s">
        <v>54</v>
      </c>
      <c r="G40" s="293" t="s">
        <v>117</v>
      </c>
      <c r="H40" s="299">
        <v>50000</v>
      </c>
      <c r="I40" s="299">
        <v>50000</v>
      </c>
      <c r="J40" s="299"/>
      <c r="K40" s="299"/>
      <c r="L40" s="300"/>
      <c r="M40" s="804">
        <f t="shared" si="6"/>
        <v>45659.820999999996</v>
      </c>
      <c r="N40" s="804"/>
      <c r="O40" s="301">
        <v>45659.820999999996</v>
      </c>
      <c r="P40" s="300"/>
      <c r="Q40" s="300"/>
      <c r="R40" s="300"/>
      <c r="S40" s="301">
        <f t="shared" si="4"/>
        <v>45659.820999999996</v>
      </c>
      <c r="T40" s="301"/>
      <c r="U40" s="301">
        <v>45659.820999999996</v>
      </c>
      <c r="V40" s="299">
        <f t="shared" si="7"/>
        <v>4340.1790000000037</v>
      </c>
      <c r="W40" s="299">
        <v>4000</v>
      </c>
      <c r="X40" s="299">
        <v>4000</v>
      </c>
      <c r="Y40" s="299">
        <v>4000</v>
      </c>
      <c r="Z40" s="305"/>
      <c r="AA40" s="805"/>
      <c r="AB40" s="10"/>
      <c r="AC40" s="10"/>
      <c r="AD40" s="10"/>
      <c r="AE40" s="10"/>
      <c r="AF40" s="10"/>
      <c r="AG40" s="10"/>
      <c r="AH40" s="11"/>
      <c r="AJ40" s="784"/>
      <c r="AN40" s="784"/>
      <c r="AT40" s="13"/>
      <c r="AU40" s="14"/>
      <c r="AV40" s="13"/>
      <c r="AW40" s="14"/>
      <c r="FR40" s="784"/>
      <c r="FS40" s="806"/>
    </row>
    <row r="41" spans="1:176" ht="46.8" outlineLevel="1">
      <c r="A41" s="28">
        <v>28</v>
      </c>
      <c r="B41" s="291" t="s">
        <v>118</v>
      </c>
      <c r="C41" s="28" t="s">
        <v>42</v>
      </c>
      <c r="D41" s="293" t="s">
        <v>84</v>
      </c>
      <c r="E41" s="293"/>
      <c r="F41" s="293" t="s">
        <v>54</v>
      </c>
      <c r="G41" s="293" t="s">
        <v>119</v>
      </c>
      <c r="H41" s="299">
        <v>70000</v>
      </c>
      <c r="I41" s="299">
        <v>70000</v>
      </c>
      <c r="J41" s="299"/>
      <c r="K41" s="299"/>
      <c r="L41" s="300"/>
      <c r="M41" s="804">
        <f t="shared" si="6"/>
        <v>59626</v>
      </c>
      <c r="N41" s="804"/>
      <c r="O41" s="301">
        <v>59626</v>
      </c>
      <c r="P41" s="300"/>
      <c r="Q41" s="300"/>
      <c r="R41" s="300"/>
      <c r="S41" s="301">
        <f t="shared" si="4"/>
        <v>59626</v>
      </c>
      <c r="T41" s="301"/>
      <c r="U41" s="301">
        <v>59626</v>
      </c>
      <c r="V41" s="299">
        <f t="shared" si="7"/>
        <v>10374</v>
      </c>
      <c r="W41" s="299">
        <v>10000</v>
      </c>
      <c r="X41" s="299">
        <v>10000</v>
      </c>
      <c r="Y41" s="299">
        <v>10000</v>
      </c>
      <c r="Z41" s="305"/>
      <c r="AA41" s="805"/>
      <c r="AB41" s="10"/>
      <c r="AC41" s="10"/>
      <c r="AD41" s="10"/>
      <c r="AE41" s="10"/>
      <c r="AF41" s="10"/>
      <c r="AG41" s="10"/>
      <c r="AH41" s="11"/>
      <c r="AJ41" s="784"/>
      <c r="AN41" s="784"/>
      <c r="AT41" s="13"/>
      <c r="AU41" s="14"/>
      <c r="AV41" s="13"/>
      <c r="AW41" s="14"/>
      <c r="FR41" s="784"/>
      <c r="FS41" s="806"/>
    </row>
    <row r="42" spans="1:176" ht="46.8" outlineLevel="1">
      <c r="A42" s="28">
        <v>29</v>
      </c>
      <c r="B42" s="291" t="s">
        <v>120</v>
      </c>
      <c r="C42" s="28" t="s">
        <v>42</v>
      </c>
      <c r="D42" s="293" t="s">
        <v>84</v>
      </c>
      <c r="E42" s="293"/>
      <c r="F42" s="293" t="s">
        <v>104</v>
      </c>
      <c r="G42" s="293" t="s">
        <v>121</v>
      </c>
      <c r="H42" s="299">
        <v>75000</v>
      </c>
      <c r="I42" s="299">
        <v>75000</v>
      </c>
      <c r="J42" s="299"/>
      <c r="K42" s="299">
        <v>50</v>
      </c>
      <c r="L42" s="300"/>
      <c r="M42" s="804">
        <f t="shared" si="6"/>
        <v>65000</v>
      </c>
      <c r="N42" s="804"/>
      <c r="O42" s="301">
        <v>65000</v>
      </c>
      <c r="P42" s="300"/>
      <c r="Q42" s="300"/>
      <c r="R42" s="300"/>
      <c r="S42" s="301">
        <f t="shared" si="4"/>
        <v>65000</v>
      </c>
      <c r="T42" s="301"/>
      <c r="U42" s="301">
        <v>65000</v>
      </c>
      <c r="V42" s="299">
        <f t="shared" si="7"/>
        <v>9950</v>
      </c>
      <c r="W42" s="299">
        <v>9950</v>
      </c>
      <c r="X42" s="299">
        <v>9950</v>
      </c>
      <c r="Y42" s="299">
        <v>9950</v>
      </c>
      <c r="Z42" s="305"/>
      <c r="AA42" s="805"/>
      <c r="AB42" s="10"/>
      <c r="AC42" s="10"/>
      <c r="AD42" s="10"/>
      <c r="AE42" s="10"/>
      <c r="AF42" s="10"/>
      <c r="AG42" s="10"/>
      <c r="AH42" s="11"/>
      <c r="AJ42" s="784"/>
      <c r="AN42" s="784"/>
      <c r="AT42" s="13"/>
      <c r="AU42" s="14"/>
      <c r="AV42" s="13"/>
      <c r="AW42" s="14"/>
      <c r="FR42" s="784"/>
      <c r="FS42" s="806"/>
    </row>
    <row r="43" spans="1:176" ht="46.8" outlineLevel="1">
      <c r="A43" s="28">
        <v>30</v>
      </c>
      <c r="B43" s="291" t="s">
        <v>122</v>
      </c>
      <c r="C43" s="28" t="s">
        <v>42</v>
      </c>
      <c r="D43" s="293" t="s">
        <v>84</v>
      </c>
      <c r="E43" s="293"/>
      <c r="F43" s="293" t="s">
        <v>51</v>
      </c>
      <c r="G43" s="293" t="s">
        <v>123</v>
      </c>
      <c r="H43" s="299">
        <v>79000</v>
      </c>
      <c r="I43" s="299">
        <v>79000</v>
      </c>
      <c r="J43" s="299"/>
      <c r="K43" s="299">
        <v>250</v>
      </c>
      <c r="L43" s="300"/>
      <c r="M43" s="804">
        <f t="shared" si="6"/>
        <v>70020</v>
      </c>
      <c r="N43" s="804"/>
      <c r="O43" s="301">
        <v>70020</v>
      </c>
      <c r="P43" s="300"/>
      <c r="Q43" s="300"/>
      <c r="R43" s="300"/>
      <c r="S43" s="301">
        <f t="shared" si="4"/>
        <v>70020</v>
      </c>
      <c r="T43" s="301"/>
      <c r="U43" s="301">
        <v>70020</v>
      </c>
      <c r="V43" s="299">
        <f t="shared" si="7"/>
        <v>8730</v>
      </c>
      <c r="W43" s="299">
        <v>8730</v>
      </c>
      <c r="X43" s="299">
        <v>8730</v>
      </c>
      <c r="Y43" s="299">
        <v>8730</v>
      </c>
      <c r="Z43" s="305"/>
      <c r="AA43" s="805"/>
      <c r="AB43" s="10"/>
      <c r="AC43" s="10"/>
      <c r="AD43" s="10"/>
      <c r="AE43" s="10"/>
      <c r="AF43" s="10"/>
      <c r="AG43" s="10"/>
      <c r="AH43" s="11"/>
      <c r="AJ43" s="784"/>
      <c r="AN43" s="784"/>
      <c r="AT43" s="13"/>
      <c r="AU43" s="14"/>
      <c r="AV43" s="13"/>
      <c r="AW43" s="14"/>
      <c r="FR43" s="784"/>
      <c r="FS43" s="806"/>
    </row>
    <row r="44" spans="1:176" ht="31.2">
      <c r="A44" s="288" t="s">
        <v>124</v>
      </c>
      <c r="B44" s="289" t="s">
        <v>125</v>
      </c>
      <c r="C44" s="290"/>
      <c r="D44" s="290"/>
      <c r="E44" s="290"/>
      <c r="F44" s="290"/>
      <c r="G44" s="290"/>
      <c r="H44" s="290">
        <f t="shared" ref="H44:Y44" si="8">SUM(H45:H84)</f>
        <v>6443735.7999999998</v>
      </c>
      <c r="I44" s="290">
        <f t="shared" si="8"/>
        <v>6359770.7999999998</v>
      </c>
      <c r="J44" s="290">
        <f t="shared" si="8"/>
        <v>98016.28</v>
      </c>
      <c r="K44" s="290">
        <f t="shared" si="8"/>
        <v>7666</v>
      </c>
      <c r="L44" s="290">
        <f t="shared" si="8"/>
        <v>37576</v>
      </c>
      <c r="M44" s="290">
        <f t="shared" si="8"/>
        <v>656702.34062637959</v>
      </c>
      <c r="N44" s="290">
        <f t="shared" si="8"/>
        <v>0</v>
      </c>
      <c r="O44" s="290">
        <f t="shared" si="8"/>
        <v>656702.34062637959</v>
      </c>
      <c r="P44" s="290">
        <f t="shared" si="8"/>
        <v>171112.60962639764</v>
      </c>
      <c r="Q44" s="290">
        <f t="shared" si="8"/>
        <v>0</v>
      </c>
      <c r="R44" s="290">
        <f t="shared" si="8"/>
        <v>500589.73099998193</v>
      </c>
      <c r="S44" s="290">
        <f t="shared" si="8"/>
        <v>2235717.5316240001</v>
      </c>
      <c r="T44" s="290">
        <f t="shared" si="8"/>
        <v>50000</v>
      </c>
      <c r="U44" s="290">
        <f t="shared" si="8"/>
        <v>2185717.5316240001</v>
      </c>
      <c r="V44" s="290">
        <f t="shared" si="8"/>
        <v>4068370.988376</v>
      </c>
      <c r="W44" s="290">
        <f t="shared" si="8"/>
        <v>3966391.9183760001</v>
      </c>
      <c r="X44" s="290">
        <f t="shared" si="8"/>
        <v>1407883.4375999998</v>
      </c>
      <c r="Y44" s="290">
        <f t="shared" si="8"/>
        <v>765785.35980000009</v>
      </c>
      <c r="Z44" s="290"/>
      <c r="AA44" s="801"/>
      <c r="AB44" s="802" t="e">
        <f>#REF!/X44*100</f>
        <v>#REF!</v>
      </c>
      <c r="AC44" s="802"/>
      <c r="AD44" s="803"/>
      <c r="AE44" s="803"/>
      <c r="AF44" s="802"/>
      <c r="AG44" s="802"/>
      <c r="AH44" s="11"/>
      <c r="AI44" s="11"/>
      <c r="AJ44" s="11"/>
      <c r="AK44" s="11"/>
      <c r="AL44" s="11"/>
      <c r="AM44" s="12"/>
      <c r="AN44" s="13"/>
      <c r="AO44" s="12"/>
      <c r="AP44" s="12"/>
      <c r="AQ44" s="12"/>
      <c r="AR44" s="12"/>
      <c r="AS44" s="12"/>
      <c r="AT44" s="13"/>
      <c r="AU44" s="14"/>
      <c r="AV44" s="13"/>
      <c r="AW44" s="14"/>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3"/>
      <c r="FS44" s="15"/>
      <c r="FT44" s="290">
        <f>SUM(FT45:FT84)</f>
        <v>0</v>
      </c>
    </row>
    <row r="45" spans="1:176" ht="78" outlineLevel="1">
      <c r="A45" s="292">
        <f>MAX(A$14:$B44)+1</f>
        <v>31</v>
      </c>
      <c r="B45" s="291" t="s">
        <v>126</v>
      </c>
      <c r="C45" s="293" t="s">
        <v>125</v>
      </c>
      <c r="D45" s="293" t="s">
        <v>47</v>
      </c>
      <c r="E45" s="293"/>
      <c r="F45" s="293" t="s">
        <v>54</v>
      </c>
      <c r="G45" s="293" t="s">
        <v>127</v>
      </c>
      <c r="H45" s="299">
        <v>90000</v>
      </c>
      <c r="I45" s="299">
        <v>70000</v>
      </c>
      <c r="J45" s="299"/>
      <c r="K45" s="299">
        <v>50</v>
      </c>
      <c r="L45" s="299"/>
      <c r="M45" s="804">
        <f>N45+O45</f>
        <v>0</v>
      </c>
      <c r="N45" s="804"/>
      <c r="O45" s="301"/>
      <c r="P45" s="299">
        <v>15000</v>
      </c>
      <c r="Q45" s="299"/>
      <c r="R45" s="299"/>
      <c r="S45" s="301">
        <f t="shared" ref="S45:S84" si="9">T45+U45</f>
        <v>65000</v>
      </c>
      <c r="T45" s="301">
        <v>50000</v>
      </c>
      <c r="U45" s="301">
        <v>15000</v>
      </c>
      <c r="V45" s="299">
        <f t="shared" ref="V45:V84" si="10">I45-J45-K45-U45</f>
        <v>54950</v>
      </c>
      <c r="W45" s="299">
        <v>20000</v>
      </c>
      <c r="X45" s="299">
        <v>20000</v>
      </c>
      <c r="Y45" s="299">
        <v>20000</v>
      </c>
      <c r="Z45" s="293" t="s">
        <v>128</v>
      </c>
      <c r="AA45" s="805"/>
      <c r="AB45" s="10"/>
      <c r="AC45" s="10"/>
      <c r="AD45" s="10"/>
      <c r="AE45" s="10"/>
      <c r="AF45" s="10"/>
      <c r="AG45" s="10"/>
      <c r="AH45" s="11"/>
      <c r="AJ45" s="784"/>
      <c r="AK45" s="781"/>
      <c r="AL45" s="784"/>
      <c r="AN45" s="784"/>
      <c r="AT45" s="13"/>
      <c r="AU45" s="14"/>
      <c r="AV45" s="13"/>
      <c r="AW45" s="14"/>
      <c r="FR45" s="784"/>
      <c r="FS45" s="807"/>
    </row>
    <row r="46" spans="1:176" ht="62.4" outlineLevel="1">
      <c r="A46" s="292">
        <f>MAX(A$14:$B45)+1</f>
        <v>32</v>
      </c>
      <c r="B46" s="291" t="s">
        <v>129</v>
      </c>
      <c r="C46" s="293" t="s">
        <v>125</v>
      </c>
      <c r="D46" s="293" t="s">
        <v>47</v>
      </c>
      <c r="E46" s="293"/>
      <c r="F46" s="293" t="s">
        <v>48</v>
      </c>
      <c r="G46" s="293" t="s">
        <v>130</v>
      </c>
      <c r="H46" s="299">
        <v>350000</v>
      </c>
      <c r="I46" s="299">
        <v>350000</v>
      </c>
      <c r="J46" s="299"/>
      <c r="K46" s="299"/>
      <c r="L46" s="299">
        <v>5576</v>
      </c>
      <c r="M46" s="804"/>
      <c r="N46" s="804"/>
      <c r="O46" s="301"/>
      <c r="P46" s="299"/>
      <c r="Q46" s="299"/>
      <c r="R46" s="299"/>
      <c r="S46" s="301">
        <f t="shared" si="9"/>
        <v>155076</v>
      </c>
      <c r="T46" s="301"/>
      <c r="U46" s="301">
        <v>155076</v>
      </c>
      <c r="V46" s="299">
        <f t="shared" si="10"/>
        <v>194924</v>
      </c>
      <c r="W46" s="299">
        <v>190000</v>
      </c>
      <c r="X46" s="299">
        <v>190000</v>
      </c>
      <c r="Y46" s="299">
        <v>100000</v>
      </c>
      <c r="Z46" s="293" t="s">
        <v>131</v>
      </c>
      <c r="AA46" s="805"/>
      <c r="AB46" s="10"/>
      <c r="AC46" s="10"/>
      <c r="AD46" s="10"/>
      <c r="AE46" s="10"/>
      <c r="AF46" s="10"/>
      <c r="AG46" s="10"/>
      <c r="AH46" s="11"/>
      <c r="AJ46" s="784"/>
      <c r="AK46" s="781"/>
      <c r="AL46" s="784"/>
      <c r="AN46" s="784"/>
      <c r="AT46" s="13"/>
      <c r="AU46" s="14">
        <v>-11679.268600000069</v>
      </c>
      <c r="AV46" s="13"/>
      <c r="AW46" s="14"/>
      <c r="FR46" s="784"/>
      <c r="FS46" s="807"/>
    </row>
    <row r="47" spans="1:176" ht="46.8" outlineLevel="1">
      <c r="A47" s="292">
        <f>MAX(A$14:$B46)+1</f>
        <v>33</v>
      </c>
      <c r="B47" s="291" t="s">
        <v>132</v>
      </c>
      <c r="C47" s="349" t="s">
        <v>133</v>
      </c>
      <c r="D47" s="293" t="s">
        <v>47</v>
      </c>
      <c r="E47" s="349"/>
      <c r="F47" s="349" t="s">
        <v>48</v>
      </c>
      <c r="G47" s="293" t="s">
        <v>134</v>
      </c>
      <c r="H47" s="301">
        <v>80000</v>
      </c>
      <c r="I47" s="301">
        <v>80000</v>
      </c>
      <c r="J47" s="301"/>
      <c r="K47" s="301"/>
      <c r="L47" s="299">
        <v>25000</v>
      </c>
      <c r="M47" s="804">
        <f>N47+O47</f>
        <v>25000</v>
      </c>
      <c r="N47" s="804"/>
      <c r="O47" s="301">
        <f>P47+R47+Q47</f>
        <v>25000</v>
      </c>
      <c r="P47" s="301">
        <f>'[3]PL7- Khoi cong moi 21-25(IN)'!AK58</f>
        <v>15000</v>
      </c>
      <c r="Q47" s="301">
        <f>'[3]PL7- Khoi cong moi 21-25(IN)'!AL58</f>
        <v>0</v>
      </c>
      <c r="R47" s="301">
        <f>'[3]PL7- Khoi cong moi 21-25(IN)'!AM58</f>
        <v>10000</v>
      </c>
      <c r="S47" s="301">
        <f t="shared" si="9"/>
        <v>50000</v>
      </c>
      <c r="T47" s="301"/>
      <c r="U47" s="301">
        <v>50000</v>
      </c>
      <c r="V47" s="299">
        <f t="shared" si="10"/>
        <v>30000</v>
      </c>
      <c r="W47" s="299">
        <f>6000+20000</f>
        <v>26000</v>
      </c>
      <c r="X47" s="299">
        <v>26000</v>
      </c>
      <c r="Y47" s="299">
        <v>19000</v>
      </c>
      <c r="Z47" s="306"/>
      <c r="AA47" s="805"/>
      <c r="AB47" s="10">
        <f>45000+25000</f>
        <v>70000</v>
      </c>
      <c r="AC47" s="10"/>
      <c r="AD47" s="10"/>
      <c r="AE47" s="10"/>
      <c r="AF47" s="10"/>
      <c r="AG47" s="10"/>
      <c r="AH47" s="11"/>
      <c r="AJ47" s="784"/>
      <c r="AN47" s="784"/>
      <c r="AT47" s="13"/>
      <c r="AU47" s="14"/>
      <c r="AV47" s="13"/>
      <c r="AW47" s="14"/>
      <c r="FR47" s="784"/>
      <c r="FS47" s="806"/>
    </row>
    <row r="48" spans="1:176" ht="62.4" outlineLevel="1">
      <c r="A48" s="292">
        <f>MAX(A$14:$B47)+1</f>
        <v>34</v>
      </c>
      <c r="B48" s="291" t="s">
        <v>135</v>
      </c>
      <c r="C48" s="293" t="s">
        <v>125</v>
      </c>
      <c r="D48" s="293" t="s">
        <v>47</v>
      </c>
      <c r="E48" s="293"/>
      <c r="F48" s="293" t="s">
        <v>92</v>
      </c>
      <c r="G48" s="293" t="s">
        <v>136</v>
      </c>
      <c r="H48" s="302">
        <v>79000</v>
      </c>
      <c r="I48" s="303">
        <v>79000</v>
      </c>
      <c r="J48" s="299"/>
      <c r="K48" s="303">
        <v>200</v>
      </c>
      <c r="L48" s="303"/>
      <c r="M48" s="804"/>
      <c r="N48" s="804"/>
      <c r="O48" s="301"/>
      <c r="P48" s="303"/>
      <c r="Q48" s="303"/>
      <c r="R48" s="303"/>
      <c r="S48" s="301">
        <f t="shared" si="9"/>
        <v>50000</v>
      </c>
      <c r="T48" s="301"/>
      <c r="U48" s="301">
        <v>50000</v>
      </c>
      <c r="V48" s="299">
        <f t="shared" si="10"/>
        <v>28800</v>
      </c>
      <c r="W48" s="299">
        <v>25050</v>
      </c>
      <c r="X48" s="299">
        <v>25050</v>
      </c>
      <c r="Y48" s="299">
        <v>25050</v>
      </c>
      <c r="Z48" s="307"/>
      <c r="AA48" s="805"/>
      <c r="AB48" s="10"/>
      <c r="AC48" s="810"/>
      <c r="AD48" s="10"/>
      <c r="AE48" s="10"/>
      <c r="AF48" s="10"/>
      <c r="AG48" s="10"/>
      <c r="AH48" s="11"/>
      <c r="AJ48" s="784"/>
      <c r="AL48" s="784"/>
      <c r="AN48" s="784"/>
      <c r="AT48" s="13"/>
      <c r="AU48" s="14"/>
      <c r="AV48" s="13"/>
      <c r="AW48" s="14"/>
      <c r="FR48" s="784"/>
      <c r="FS48" s="807"/>
    </row>
    <row r="49" spans="1:175" ht="62.4" outlineLevel="1">
      <c r="A49" s="292">
        <f>MAX(A$14:$B48)+1</f>
        <v>35</v>
      </c>
      <c r="B49" s="291" t="s">
        <v>137</v>
      </c>
      <c r="C49" s="293" t="s">
        <v>138</v>
      </c>
      <c r="D49" s="293" t="s">
        <v>47</v>
      </c>
      <c r="E49" s="293"/>
      <c r="F49" s="293" t="s">
        <v>139</v>
      </c>
      <c r="G49" s="293" t="s">
        <v>140</v>
      </c>
      <c r="H49" s="299">
        <v>232000</v>
      </c>
      <c r="I49" s="299">
        <v>232000</v>
      </c>
      <c r="J49" s="301"/>
      <c r="K49" s="301">
        <v>500</v>
      </c>
      <c r="L49" s="299">
        <v>2000</v>
      </c>
      <c r="M49" s="804">
        <f>N49+O49</f>
        <v>150000</v>
      </c>
      <c r="N49" s="804"/>
      <c r="O49" s="301">
        <f>P49+R49+Q49</f>
        <v>150000</v>
      </c>
      <c r="P49" s="299">
        <f>'[3]PL7- Khoi cong moi 21-25(IN)'!AK43</f>
        <v>30000</v>
      </c>
      <c r="Q49" s="299">
        <f>'[3]PL7- Khoi cong moi 21-25(IN)'!AL43</f>
        <v>0</v>
      </c>
      <c r="R49" s="299">
        <f>'[3]PL7- Khoi cong moi 21-25(IN)'!AM43</f>
        <v>120000</v>
      </c>
      <c r="S49" s="301">
        <f t="shared" si="9"/>
        <v>70000</v>
      </c>
      <c r="T49" s="301"/>
      <c r="U49" s="301">
        <v>70000</v>
      </c>
      <c r="V49" s="299">
        <f t="shared" si="10"/>
        <v>161500</v>
      </c>
      <c r="W49" s="299">
        <f>161500-2000</f>
        <v>159500</v>
      </c>
      <c r="X49" s="299">
        <v>100000</v>
      </c>
      <c r="Y49" s="299">
        <v>19000</v>
      </c>
      <c r="Z49" s="304"/>
      <c r="AA49" s="805"/>
      <c r="AB49" s="10"/>
      <c r="AC49" s="10"/>
      <c r="AD49" s="10"/>
      <c r="AE49" s="10">
        <f>100-16</f>
        <v>84</v>
      </c>
      <c r="AF49" s="10"/>
      <c r="AG49" s="10"/>
      <c r="AH49" s="11"/>
      <c r="AJ49" s="784"/>
      <c r="AN49" s="784"/>
      <c r="AT49" s="13"/>
      <c r="AU49" s="14"/>
      <c r="AV49" s="13"/>
      <c r="AW49" s="14"/>
      <c r="FR49" s="784"/>
      <c r="FS49" s="806"/>
    </row>
    <row r="50" spans="1:175" ht="62.4" outlineLevel="1">
      <c r="A50" s="292">
        <f>MAX(A$14:$B49)+1</f>
        <v>36</v>
      </c>
      <c r="B50" s="291" t="s">
        <v>141</v>
      </c>
      <c r="C50" s="293" t="s">
        <v>125</v>
      </c>
      <c r="D50" s="293" t="s">
        <v>47</v>
      </c>
      <c r="E50" s="293"/>
      <c r="F50" s="293" t="s">
        <v>139</v>
      </c>
      <c r="G50" s="293" t="s">
        <v>142</v>
      </c>
      <c r="H50" s="302">
        <f>300000+700000</f>
        <v>1000000</v>
      </c>
      <c r="I50" s="303">
        <v>1000000</v>
      </c>
      <c r="J50" s="303"/>
      <c r="K50" s="303">
        <v>1500</v>
      </c>
      <c r="L50" s="303">
        <v>5000</v>
      </c>
      <c r="M50" s="804">
        <f>N50+O50</f>
        <v>300000</v>
      </c>
      <c r="N50" s="804"/>
      <c r="O50" s="301">
        <f>P50+R50+Q50</f>
        <v>300000</v>
      </c>
      <c r="P50" s="303">
        <f>'[3]PL7- Khoi cong moi 21-25(IN)'!AK62</f>
        <v>50000</v>
      </c>
      <c r="Q50" s="303">
        <f>'[3]PL7- Khoi cong moi 21-25(IN)'!AL62</f>
        <v>0</v>
      </c>
      <c r="R50" s="303">
        <f>'[3]PL7- Khoi cong moi 21-25(IN)'!AM62</f>
        <v>250000</v>
      </c>
      <c r="S50" s="301">
        <f t="shared" si="9"/>
        <v>244600</v>
      </c>
      <c r="T50" s="301"/>
      <c r="U50" s="301">
        <v>244600</v>
      </c>
      <c r="V50" s="299">
        <f t="shared" si="10"/>
        <v>753900</v>
      </c>
      <c r="W50" s="299">
        <v>695000</v>
      </c>
      <c r="X50" s="299">
        <v>350000</v>
      </c>
      <c r="Y50" s="299">
        <v>123000</v>
      </c>
      <c r="Z50" s="307"/>
      <c r="AA50" s="805" t="s">
        <v>143</v>
      </c>
      <c r="AB50" s="10"/>
      <c r="AC50" s="810"/>
      <c r="AD50" s="10"/>
      <c r="AE50" s="10"/>
      <c r="AF50" s="10"/>
      <c r="AG50" s="10"/>
      <c r="AH50" s="11"/>
      <c r="AJ50" s="784"/>
      <c r="AL50" s="784">
        <f>P50-AI50</f>
        <v>50000</v>
      </c>
      <c r="AN50" s="784"/>
      <c r="AT50" s="13"/>
      <c r="AU50" s="14"/>
      <c r="AV50" s="13"/>
      <c r="AW50" s="14"/>
      <c r="FR50" s="784"/>
      <c r="FS50" s="807"/>
    </row>
    <row r="51" spans="1:175" ht="78" outlineLevel="1">
      <c r="A51" s="292">
        <f>MAX(A$14:$B50)+1</f>
        <v>37</v>
      </c>
      <c r="B51" s="291" t="s">
        <v>144</v>
      </c>
      <c r="C51" s="293" t="s">
        <v>125</v>
      </c>
      <c r="D51" s="293" t="s">
        <v>47</v>
      </c>
      <c r="E51" s="293"/>
      <c r="F51" s="293" t="s">
        <v>139</v>
      </c>
      <c r="G51" s="30" t="s">
        <v>145</v>
      </c>
      <c r="H51" s="299">
        <v>130000</v>
      </c>
      <c r="I51" s="299">
        <v>130000</v>
      </c>
      <c r="J51" s="299"/>
      <c r="K51" s="299">
        <v>500</v>
      </c>
      <c r="L51" s="299"/>
      <c r="M51" s="804">
        <f>N51+O51</f>
        <v>5000</v>
      </c>
      <c r="N51" s="804"/>
      <c r="O51" s="301">
        <f>P51+R51+Q51</f>
        <v>5000</v>
      </c>
      <c r="P51" s="299">
        <v>5000</v>
      </c>
      <c r="Q51" s="299"/>
      <c r="R51" s="299"/>
      <c r="S51" s="301">
        <f t="shared" si="9"/>
        <v>5000</v>
      </c>
      <c r="T51" s="301"/>
      <c r="U51" s="301">
        <v>5000</v>
      </c>
      <c r="V51" s="299">
        <f t="shared" si="10"/>
        <v>124500</v>
      </c>
      <c r="W51" s="299">
        <v>120000</v>
      </c>
      <c r="X51" s="299">
        <v>40000</v>
      </c>
      <c r="Y51" s="299">
        <v>18000</v>
      </c>
      <c r="Z51" s="304"/>
      <c r="AA51" s="805"/>
      <c r="AB51" s="10"/>
      <c r="AC51" s="10"/>
      <c r="AD51" s="10"/>
      <c r="AE51" s="10"/>
      <c r="AF51" s="10"/>
      <c r="AG51" s="10"/>
      <c r="AH51" s="11"/>
      <c r="AJ51" s="784"/>
      <c r="AN51" s="784"/>
      <c r="AT51" s="13"/>
      <c r="AU51" s="14"/>
      <c r="AV51" s="13"/>
      <c r="AW51" s="14"/>
      <c r="FR51" s="784"/>
      <c r="FS51" s="806"/>
    </row>
    <row r="52" spans="1:175" ht="62.4" outlineLevel="1">
      <c r="A52" s="292">
        <f>MAX(A$14:$B51)+1</f>
        <v>38</v>
      </c>
      <c r="B52" s="291" t="s">
        <v>146</v>
      </c>
      <c r="C52" s="293" t="s">
        <v>125</v>
      </c>
      <c r="D52" s="293" t="s">
        <v>84</v>
      </c>
      <c r="E52" s="293"/>
      <c r="F52" s="293" t="s">
        <v>147</v>
      </c>
      <c r="G52" s="30" t="s">
        <v>148</v>
      </c>
      <c r="H52" s="299">
        <v>50000</v>
      </c>
      <c r="I52" s="299">
        <v>50000</v>
      </c>
      <c r="J52" s="299"/>
      <c r="K52" s="299"/>
      <c r="L52" s="299"/>
      <c r="M52" s="804">
        <f>N52+O52</f>
        <v>15000</v>
      </c>
      <c r="N52" s="804"/>
      <c r="O52" s="301">
        <f>P52+R52+Q52</f>
        <v>15000</v>
      </c>
      <c r="P52" s="299">
        <f>'[3]PL7- Khoi cong moi 21-25(IN)'!AK189</f>
        <v>15000</v>
      </c>
      <c r="Q52" s="299">
        <f>'[3]PL7- Khoi cong moi 21-25(IN)'!AL189</f>
        <v>0</v>
      </c>
      <c r="R52" s="299">
        <f>'[3]PL7- Khoi cong moi 21-25(IN)'!AM189</f>
        <v>0</v>
      </c>
      <c r="S52" s="301">
        <f t="shared" si="9"/>
        <v>15000</v>
      </c>
      <c r="T52" s="301"/>
      <c r="U52" s="301">
        <v>15000</v>
      </c>
      <c r="V52" s="299">
        <f t="shared" si="10"/>
        <v>35000</v>
      </c>
      <c r="W52" s="299">
        <v>30000</v>
      </c>
      <c r="X52" s="299">
        <v>20000</v>
      </c>
      <c r="Y52" s="299">
        <v>10000</v>
      </c>
      <c r="Z52" s="304"/>
      <c r="AA52" s="805"/>
      <c r="AB52" s="10"/>
      <c r="AC52" s="10"/>
      <c r="AD52" s="10"/>
      <c r="AE52" s="10"/>
      <c r="AF52" s="10"/>
      <c r="AG52" s="10"/>
      <c r="AH52" s="11"/>
      <c r="AJ52" s="784"/>
      <c r="AL52" s="278">
        <f>P52-AI52</f>
        <v>15000</v>
      </c>
      <c r="AN52" s="784"/>
      <c r="AT52" s="13"/>
      <c r="AU52" s="14"/>
      <c r="AV52" s="13"/>
      <c r="AW52" s="14"/>
      <c r="FR52" s="784"/>
      <c r="FS52" s="806"/>
    </row>
    <row r="53" spans="1:175" ht="62.4" outlineLevel="1">
      <c r="A53" s="292">
        <f>MAX(A$14:$B52)+1</f>
        <v>39</v>
      </c>
      <c r="B53" s="291" t="s">
        <v>149</v>
      </c>
      <c r="C53" s="293" t="s">
        <v>125</v>
      </c>
      <c r="D53" s="293" t="s">
        <v>84</v>
      </c>
      <c r="E53" s="293"/>
      <c r="F53" s="293" t="s">
        <v>92</v>
      </c>
      <c r="G53" s="293" t="s">
        <v>150</v>
      </c>
      <c r="H53" s="308">
        <v>65000</v>
      </c>
      <c r="I53" s="308">
        <v>65000</v>
      </c>
      <c r="J53" s="308"/>
      <c r="K53" s="308"/>
      <c r="L53" s="308"/>
      <c r="M53" s="804">
        <f>N53+O53</f>
        <v>15000</v>
      </c>
      <c r="N53" s="804"/>
      <c r="O53" s="301">
        <f>P53+R53+Q53</f>
        <v>15000</v>
      </c>
      <c r="P53" s="299">
        <f>'[3]PL7- Khoi cong moi 21-25(IN)'!AK172</f>
        <v>0</v>
      </c>
      <c r="Q53" s="299">
        <f>'[3]PL7- Khoi cong moi 21-25(IN)'!AL172</f>
        <v>0</v>
      </c>
      <c r="R53" s="299">
        <f>'[3]PL7- Khoi cong moi 21-25(IN)'!AM172</f>
        <v>15000</v>
      </c>
      <c r="S53" s="301">
        <f t="shared" si="9"/>
        <v>15000</v>
      </c>
      <c r="T53" s="301"/>
      <c r="U53" s="301">
        <v>15000</v>
      </c>
      <c r="V53" s="299">
        <f t="shared" si="10"/>
        <v>50000</v>
      </c>
      <c r="W53" s="299">
        <v>50000</v>
      </c>
      <c r="X53" s="299">
        <v>20000</v>
      </c>
      <c r="Y53" s="299">
        <v>10000</v>
      </c>
      <c r="Z53" s="293"/>
      <c r="AA53" s="805"/>
      <c r="AB53" s="10"/>
      <c r="AC53" s="10"/>
      <c r="AD53" s="10"/>
      <c r="AE53" s="10"/>
      <c r="AF53" s="10"/>
      <c r="AG53" s="10"/>
      <c r="AH53" s="11"/>
      <c r="AJ53" s="784"/>
      <c r="AL53" s="784">
        <f>P53-AI53</f>
        <v>0</v>
      </c>
      <c r="AN53" s="784"/>
      <c r="AT53" s="13"/>
      <c r="AU53" s="14"/>
      <c r="AV53" s="13"/>
      <c r="AW53" s="14"/>
      <c r="FR53" s="784"/>
      <c r="FS53" s="807"/>
    </row>
    <row r="54" spans="1:175" ht="62.4" outlineLevel="1">
      <c r="A54" s="292">
        <f ca="1">MAX(A$14:$B112)+1</f>
        <v>41</v>
      </c>
      <c r="B54" s="291" t="s">
        <v>153</v>
      </c>
      <c r="C54" s="293" t="s">
        <v>125</v>
      </c>
      <c r="D54" s="293" t="s">
        <v>84</v>
      </c>
      <c r="E54" s="293"/>
      <c r="F54" s="293" t="s">
        <v>154</v>
      </c>
      <c r="G54" s="293" t="s">
        <v>155</v>
      </c>
      <c r="H54" s="308">
        <v>95000</v>
      </c>
      <c r="I54" s="308">
        <v>95000</v>
      </c>
      <c r="J54" s="308"/>
      <c r="K54" s="308"/>
      <c r="L54" s="308"/>
      <c r="M54" s="804"/>
      <c r="N54" s="804"/>
      <c r="O54" s="301"/>
      <c r="P54" s="299"/>
      <c r="Q54" s="299"/>
      <c r="R54" s="299"/>
      <c r="S54" s="301">
        <f t="shared" si="9"/>
        <v>17557</v>
      </c>
      <c r="T54" s="301"/>
      <c r="U54" s="301">
        <v>17557</v>
      </c>
      <c r="V54" s="299">
        <f t="shared" si="10"/>
        <v>77443</v>
      </c>
      <c r="W54" s="299">
        <v>77443</v>
      </c>
      <c r="X54" s="299">
        <v>20000</v>
      </c>
      <c r="Y54" s="299">
        <v>10000</v>
      </c>
      <c r="Z54" s="293"/>
      <c r="AA54" s="805"/>
      <c r="AB54" s="10"/>
      <c r="AC54" s="10"/>
      <c r="AD54" s="10"/>
      <c r="AE54" s="10"/>
      <c r="AF54" s="10"/>
      <c r="AG54" s="10"/>
      <c r="AH54" s="11"/>
      <c r="AJ54" s="784"/>
      <c r="AL54" s="784"/>
      <c r="AN54" s="784"/>
      <c r="AT54" s="13"/>
      <c r="AU54" s="14"/>
      <c r="AV54" s="13"/>
      <c r="AW54" s="14"/>
      <c r="FR54" s="784"/>
      <c r="FS54" s="807"/>
    </row>
    <row r="55" spans="1:175" ht="62.4" outlineLevel="1">
      <c r="A55" s="292">
        <f ca="1">MAX(A$14:$B54)+1</f>
        <v>42</v>
      </c>
      <c r="B55" s="291" t="s">
        <v>156</v>
      </c>
      <c r="C55" s="293" t="s">
        <v>125</v>
      </c>
      <c r="D55" s="293" t="s">
        <v>47</v>
      </c>
      <c r="E55" s="293"/>
      <c r="F55" s="293" t="s">
        <v>157</v>
      </c>
      <c r="G55" s="293" t="s">
        <v>158</v>
      </c>
      <c r="H55" s="308">
        <f>I55</f>
        <v>800000</v>
      </c>
      <c r="I55" s="308">
        <v>800000</v>
      </c>
      <c r="J55" s="308"/>
      <c r="K55" s="308">
        <v>3916</v>
      </c>
      <c r="L55" s="308"/>
      <c r="M55" s="804">
        <f>N55+O55</f>
        <v>100000</v>
      </c>
      <c r="N55" s="804"/>
      <c r="O55" s="301">
        <f>P55+R55+Q55</f>
        <v>100000</v>
      </c>
      <c r="P55" s="299">
        <v>30000</v>
      </c>
      <c r="Q55" s="299"/>
      <c r="R55" s="299">
        <f>27000+13000+30000</f>
        <v>70000</v>
      </c>
      <c r="S55" s="301">
        <f t="shared" si="9"/>
        <v>100000</v>
      </c>
      <c r="T55" s="301"/>
      <c r="U55" s="301">
        <v>100000</v>
      </c>
      <c r="V55" s="299">
        <f t="shared" si="10"/>
        <v>696084</v>
      </c>
      <c r="W55" s="299">
        <v>696084</v>
      </c>
      <c r="X55" s="299">
        <v>50000</v>
      </c>
      <c r="Y55" s="299">
        <v>10000</v>
      </c>
      <c r="Z55" s="293"/>
      <c r="AA55" s="805"/>
      <c r="AB55" s="10"/>
      <c r="AC55" s="10"/>
      <c r="AD55" s="10"/>
      <c r="AE55" s="10"/>
      <c r="AF55" s="10"/>
      <c r="AG55" s="10"/>
      <c r="AH55" s="11"/>
      <c r="AJ55" s="784"/>
      <c r="AL55" s="784"/>
      <c r="AN55" s="784"/>
      <c r="AT55" s="13"/>
      <c r="AU55" s="14"/>
      <c r="AV55" s="13"/>
      <c r="AW55" s="14"/>
      <c r="FR55" s="784"/>
      <c r="FS55" s="807"/>
    </row>
    <row r="56" spans="1:175" ht="62.4" outlineLevel="1">
      <c r="A56" s="292">
        <f ca="1">MAX(A$14:$B55)+1</f>
        <v>43</v>
      </c>
      <c r="B56" s="291" t="s">
        <v>159</v>
      </c>
      <c r="C56" s="293" t="s">
        <v>125</v>
      </c>
      <c r="D56" s="293" t="s">
        <v>47</v>
      </c>
      <c r="E56" s="293"/>
      <c r="F56" s="293" t="s">
        <v>157</v>
      </c>
      <c r="G56" s="293" t="s">
        <v>160</v>
      </c>
      <c r="H56" s="308">
        <f>I56</f>
        <v>900000</v>
      </c>
      <c r="I56" s="308">
        <v>900000</v>
      </c>
      <c r="J56" s="308"/>
      <c r="K56" s="308">
        <v>1000</v>
      </c>
      <c r="L56" s="308"/>
      <c r="M56" s="804">
        <f>N56+O56</f>
        <v>46702.34062637957</v>
      </c>
      <c r="N56" s="804"/>
      <c r="O56" s="301">
        <f>P56+R56+Q56</f>
        <v>46702.34062637957</v>
      </c>
      <c r="P56" s="299">
        <f>25302.9096263928-15000-1190+2000-0.299999995157123</f>
        <v>11112.609626397643</v>
      </c>
      <c r="Q56" s="299"/>
      <c r="R56" s="299">
        <f>35589.3989999927+0.33199998922646</f>
        <v>35589.730999981926</v>
      </c>
      <c r="S56" s="301">
        <f t="shared" si="9"/>
        <v>274394</v>
      </c>
      <c r="T56" s="301"/>
      <c r="U56" s="301">
        <v>274394</v>
      </c>
      <c r="V56" s="299">
        <f t="shared" si="10"/>
        <v>624606</v>
      </c>
      <c r="W56" s="299">
        <v>624606</v>
      </c>
      <c r="X56" s="299">
        <v>50000</v>
      </c>
      <c r="Y56" s="299">
        <v>10000</v>
      </c>
      <c r="Z56" s="293"/>
      <c r="AA56" s="805"/>
      <c r="AB56" s="10"/>
      <c r="AC56" s="10"/>
      <c r="AD56" s="10"/>
      <c r="AE56" s="10"/>
      <c r="AF56" s="10"/>
      <c r="AG56" s="10"/>
      <c r="AH56" s="11"/>
      <c r="AJ56" s="784"/>
      <c r="AL56" s="784"/>
      <c r="AN56" s="784"/>
      <c r="AT56" s="13"/>
      <c r="AU56" s="14"/>
      <c r="AV56" s="13"/>
      <c r="AW56" s="14"/>
      <c r="FR56" s="784"/>
      <c r="FS56" s="807"/>
    </row>
    <row r="57" spans="1:175" ht="78" outlineLevel="1">
      <c r="A57" s="292">
        <f ca="1">MAX(A$14:$B56)+1</f>
        <v>44</v>
      </c>
      <c r="B57" s="291" t="s">
        <v>161</v>
      </c>
      <c r="C57" s="293" t="s">
        <v>162</v>
      </c>
      <c r="D57" s="293" t="s">
        <v>47</v>
      </c>
      <c r="E57" s="293"/>
      <c r="F57" s="293" t="s">
        <v>163</v>
      </c>
      <c r="G57" s="293" t="s">
        <v>164</v>
      </c>
      <c r="H57" s="299">
        <v>82000</v>
      </c>
      <c r="I57" s="299">
        <v>25000</v>
      </c>
      <c r="J57" s="299"/>
      <c r="K57" s="299"/>
      <c r="L57" s="299"/>
      <c r="M57" s="804"/>
      <c r="N57" s="804"/>
      <c r="O57" s="301"/>
      <c r="P57" s="299"/>
      <c r="Q57" s="299"/>
      <c r="R57" s="299"/>
      <c r="S57" s="301">
        <f t="shared" si="9"/>
        <v>15200</v>
      </c>
      <c r="T57" s="301"/>
      <c r="U57" s="301">
        <v>15200</v>
      </c>
      <c r="V57" s="299">
        <f t="shared" si="10"/>
        <v>9800</v>
      </c>
      <c r="W57" s="299">
        <f>+V57</f>
        <v>9800</v>
      </c>
      <c r="X57" s="299">
        <v>9800</v>
      </c>
      <c r="Y57" s="299">
        <v>5000</v>
      </c>
      <c r="Z57" s="293"/>
      <c r="AA57" s="805"/>
      <c r="AB57" s="802"/>
      <c r="AC57" s="802"/>
      <c r="AD57" s="802"/>
      <c r="AE57" s="802"/>
      <c r="AF57" s="802"/>
      <c r="AG57" s="802"/>
      <c r="AH57" s="11"/>
      <c r="AJ57" s="784"/>
      <c r="AL57" s="784"/>
      <c r="AN57" s="784"/>
      <c r="AT57" s="13"/>
      <c r="AU57" s="811"/>
      <c r="AV57" s="13"/>
      <c r="AW57" s="811"/>
      <c r="FR57" s="784"/>
      <c r="FS57" s="807"/>
    </row>
    <row r="58" spans="1:175" ht="78" outlineLevel="1">
      <c r="A58" s="292">
        <f ca="1">MAX(A$14:$B57)+1</f>
        <v>45</v>
      </c>
      <c r="B58" s="291" t="s">
        <v>165</v>
      </c>
      <c r="C58" s="293" t="s">
        <v>162</v>
      </c>
      <c r="D58" s="293" t="s">
        <v>47</v>
      </c>
      <c r="E58" s="293"/>
      <c r="F58" s="293" t="s">
        <v>154</v>
      </c>
      <c r="G58" s="293" t="s">
        <v>166</v>
      </c>
      <c r="H58" s="308">
        <v>126965</v>
      </c>
      <c r="I58" s="308">
        <v>120000</v>
      </c>
      <c r="J58" s="308"/>
      <c r="K58" s="308"/>
      <c r="L58" s="308"/>
      <c r="M58" s="804"/>
      <c r="N58" s="804"/>
      <c r="O58" s="301"/>
      <c r="P58" s="299"/>
      <c r="Q58" s="299"/>
      <c r="R58" s="299"/>
      <c r="S58" s="301">
        <f t="shared" si="9"/>
        <v>100000</v>
      </c>
      <c r="T58" s="301"/>
      <c r="U58" s="301">
        <v>100000</v>
      </c>
      <c r="V58" s="299">
        <f t="shared" si="10"/>
        <v>20000</v>
      </c>
      <c r="W58" s="299">
        <f>+V58</f>
        <v>20000</v>
      </c>
      <c r="X58" s="299">
        <v>10000</v>
      </c>
      <c r="Y58" s="299">
        <v>5000</v>
      </c>
      <c r="Z58" s="293"/>
      <c r="AA58" s="805"/>
      <c r="AB58" s="10"/>
      <c r="AC58" s="10"/>
      <c r="AD58" s="10"/>
      <c r="AE58" s="10"/>
      <c r="AF58" s="10"/>
      <c r="AG58" s="10"/>
      <c r="AH58" s="11"/>
      <c r="AJ58" s="784"/>
      <c r="AL58" s="784"/>
      <c r="AN58" s="784"/>
      <c r="AT58" s="13"/>
      <c r="AU58" s="14"/>
      <c r="AV58" s="13"/>
      <c r="AW58" s="14"/>
      <c r="FR58" s="784"/>
      <c r="FS58" s="807"/>
    </row>
    <row r="59" spans="1:175" ht="78" outlineLevel="1">
      <c r="A59" s="292">
        <f ca="1">MAX(A$14:$B58)+1</f>
        <v>46</v>
      </c>
      <c r="B59" s="291" t="s">
        <v>167</v>
      </c>
      <c r="C59" s="293" t="s">
        <v>162</v>
      </c>
      <c r="D59" s="293" t="s">
        <v>84</v>
      </c>
      <c r="E59" s="293"/>
      <c r="F59" s="293" t="s">
        <v>163</v>
      </c>
      <c r="G59" s="293" t="s">
        <v>168</v>
      </c>
      <c r="H59" s="308">
        <v>5000</v>
      </c>
      <c r="I59" s="308">
        <v>5000</v>
      </c>
      <c r="J59" s="308"/>
      <c r="K59" s="308"/>
      <c r="L59" s="308"/>
      <c r="M59" s="804"/>
      <c r="N59" s="804"/>
      <c r="O59" s="301"/>
      <c r="P59" s="299"/>
      <c r="Q59" s="299"/>
      <c r="R59" s="299"/>
      <c r="S59" s="301">
        <f t="shared" si="9"/>
        <v>2500</v>
      </c>
      <c r="T59" s="301"/>
      <c r="U59" s="301">
        <v>2500</v>
      </c>
      <c r="V59" s="299">
        <f t="shared" si="10"/>
        <v>2500</v>
      </c>
      <c r="W59" s="299">
        <v>2500</v>
      </c>
      <c r="X59" s="299">
        <v>2500</v>
      </c>
      <c r="Y59" s="299">
        <v>2500</v>
      </c>
      <c r="Z59" s="293"/>
      <c r="AA59" s="805"/>
      <c r="AB59" s="10"/>
      <c r="AC59" s="10"/>
      <c r="AD59" s="10"/>
      <c r="AE59" s="10"/>
      <c r="AF59" s="10"/>
      <c r="AG59" s="10"/>
      <c r="AH59" s="11"/>
      <c r="AJ59" s="784"/>
      <c r="AL59" s="784"/>
      <c r="AN59" s="784"/>
      <c r="AT59" s="13"/>
      <c r="AU59" s="14"/>
      <c r="AV59" s="13"/>
      <c r="AW59" s="14"/>
      <c r="FR59" s="784"/>
      <c r="FS59" s="807"/>
    </row>
    <row r="60" spans="1:175" ht="78" outlineLevel="1">
      <c r="A60" s="292">
        <f ca="1">MAX(A$14:$B59)+1</f>
        <v>47</v>
      </c>
      <c r="B60" s="291" t="s">
        <v>169</v>
      </c>
      <c r="C60" s="293" t="s">
        <v>162</v>
      </c>
      <c r="D60" s="293" t="s">
        <v>84</v>
      </c>
      <c r="E60" s="293"/>
      <c r="F60" s="293" t="s">
        <v>85</v>
      </c>
      <c r="G60" s="293" t="s">
        <v>170</v>
      </c>
      <c r="H60" s="308">
        <v>4050</v>
      </c>
      <c r="I60" s="308">
        <v>4050</v>
      </c>
      <c r="J60" s="308"/>
      <c r="K60" s="308"/>
      <c r="L60" s="308"/>
      <c r="M60" s="804"/>
      <c r="N60" s="804"/>
      <c r="O60" s="301"/>
      <c r="P60" s="299"/>
      <c r="Q60" s="299"/>
      <c r="R60" s="299"/>
      <c r="S60" s="301">
        <f t="shared" si="9"/>
        <v>2000</v>
      </c>
      <c r="T60" s="301"/>
      <c r="U60" s="301">
        <v>2000</v>
      </c>
      <c r="V60" s="299">
        <f t="shared" si="10"/>
        <v>2050</v>
      </c>
      <c r="W60" s="299">
        <f>4050-2000</f>
        <v>2050</v>
      </c>
      <c r="X60" s="299">
        <v>2050</v>
      </c>
      <c r="Y60" s="299">
        <v>2050</v>
      </c>
      <c r="Z60" s="293"/>
      <c r="AA60" s="805"/>
      <c r="AB60" s="10"/>
      <c r="AC60" s="10"/>
      <c r="AD60" s="10"/>
      <c r="AE60" s="10"/>
      <c r="AF60" s="10"/>
      <c r="AG60" s="10"/>
      <c r="AH60" s="11"/>
      <c r="AJ60" s="784"/>
      <c r="AL60" s="784"/>
      <c r="AN60" s="784"/>
      <c r="AT60" s="13"/>
      <c r="AU60" s="14"/>
      <c r="AV60" s="13"/>
      <c r="AW60" s="14"/>
      <c r="FR60" s="784"/>
      <c r="FS60" s="807"/>
    </row>
    <row r="61" spans="1:175" ht="78" outlineLevel="1">
      <c r="A61" s="292">
        <f ca="1">MAX(A$14:$B60)+1</f>
        <v>48</v>
      </c>
      <c r="B61" s="291" t="s">
        <v>171</v>
      </c>
      <c r="C61" s="293" t="s">
        <v>162</v>
      </c>
      <c r="D61" s="293" t="s">
        <v>84</v>
      </c>
      <c r="E61" s="293"/>
      <c r="F61" s="293" t="s">
        <v>172</v>
      </c>
      <c r="G61" s="293" t="s">
        <v>173</v>
      </c>
      <c r="H61" s="308">
        <f>I61</f>
        <v>40000</v>
      </c>
      <c r="I61" s="308">
        <v>40000</v>
      </c>
      <c r="J61" s="308"/>
      <c r="K61" s="308"/>
      <c r="L61" s="308"/>
      <c r="M61" s="804"/>
      <c r="N61" s="804"/>
      <c r="O61" s="301"/>
      <c r="P61" s="299"/>
      <c r="Q61" s="299"/>
      <c r="R61" s="299"/>
      <c r="S61" s="301">
        <f t="shared" si="9"/>
        <v>36000</v>
      </c>
      <c r="T61" s="301"/>
      <c r="U61" s="301">
        <v>36000</v>
      </c>
      <c r="V61" s="299">
        <f t="shared" si="10"/>
        <v>4000</v>
      </c>
      <c r="W61" s="299">
        <f t="shared" ref="W61:W78" si="11">V61</f>
        <v>4000</v>
      </c>
      <c r="X61" s="299">
        <v>4000</v>
      </c>
      <c r="Y61" s="299">
        <v>4000</v>
      </c>
      <c r="Z61" s="293"/>
      <c r="AA61" s="805"/>
      <c r="AB61" s="10"/>
      <c r="AC61" s="10"/>
      <c r="AD61" s="10"/>
      <c r="AE61" s="10"/>
      <c r="AF61" s="10"/>
      <c r="AG61" s="10"/>
      <c r="AH61" s="11"/>
      <c r="AJ61" s="784"/>
      <c r="AL61" s="784"/>
      <c r="AN61" s="784"/>
      <c r="AT61" s="13"/>
      <c r="AU61" s="14"/>
      <c r="AV61" s="13"/>
      <c r="AW61" s="14"/>
      <c r="FR61" s="784"/>
      <c r="FS61" s="807"/>
    </row>
    <row r="62" spans="1:175" ht="78" outlineLevel="1">
      <c r="A62" s="292">
        <f ca="1">MAX(A$14:$B61)+1</f>
        <v>49</v>
      </c>
      <c r="B62" s="291" t="s">
        <v>174</v>
      </c>
      <c r="C62" s="293" t="s">
        <v>162</v>
      </c>
      <c r="D62" s="293" t="s">
        <v>47</v>
      </c>
      <c r="E62" s="293"/>
      <c r="F62" s="293" t="s">
        <v>48</v>
      </c>
      <c r="G62" s="293" t="s">
        <v>175</v>
      </c>
      <c r="H62" s="308">
        <f>I62</f>
        <v>250000</v>
      </c>
      <c r="I62" s="308">
        <v>250000</v>
      </c>
      <c r="J62" s="308"/>
      <c r="K62" s="308"/>
      <c r="L62" s="308"/>
      <c r="M62" s="804"/>
      <c r="N62" s="804"/>
      <c r="O62" s="301"/>
      <c r="P62" s="299"/>
      <c r="Q62" s="299"/>
      <c r="R62" s="299"/>
      <c r="S62" s="301">
        <f t="shared" si="9"/>
        <v>157583</v>
      </c>
      <c r="T62" s="301"/>
      <c r="U62" s="301">
        <v>157583</v>
      </c>
      <c r="V62" s="299">
        <f t="shared" si="10"/>
        <v>92417</v>
      </c>
      <c r="W62" s="299">
        <f t="shared" si="11"/>
        <v>92417</v>
      </c>
      <c r="X62" s="299">
        <v>92417</v>
      </c>
      <c r="Y62" s="299">
        <v>60000</v>
      </c>
      <c r="Z62" s="293"/>
      <c r="AA62" s="805"/>
      <c r="AB62" s="10"/>
      <c r="AC62" s="10"/>
      <c r="AD62" s="10"/>
      <c r="AE62" s="10"/>
      <c r="AF62" s="10"/>
      <c r="AG62" s="10"/>
      <c r="AH62" s="11"/>
      <c r="AJ62" s="784"/>
      <c r="AL62" s="784"/>
      <c r="AN62" s="784"/>
      <c r="AT62" s="13"/>
      <c r="AU62" s="14"/>
      <c r="AV62" s="13"/>
      <c r="AW62" s="14"/>
      <c r="FR62" s="784"/>
      <c r="FS62" s="807"/>
    </row>
    <row r="63" spans="1:175" ht="78" outlineLevel="1">
      <c r="A63" s="292">
        <f ca="1">MAX(A$14:$B62)+1</f>
        <v>50</v>
      </c>
      <c r="B63" s="291" t="s">
        <v>176</v>
      </c>
      <c r="C63" s="293" t="s">
        <v>162</v>
      </c>
      <c r="D63" s="293" t="s">
        <v>47</v>
      </c>
      <c r="E63" s="293"/>
      <c r="F63" s="293" t="s">
        <v>75</v>
      </c>
      <c r="G63" s="293" t="s">
        <v>177</v>
      </c>
      <c r="H63" s="308">
        <f>I63</f>
        <v>102252</v>
      </c>
      <c r="I63" s="308">
        <v>102252</v>
      </c>
      <c r="J63" s="308">
        <v>540</v>
      </c>
      <c r="K63" s="308"/>
      <c r="L63" s="308"/>
      <c r="M63" s="804"/>
      <c r="N63" s="804"/>
      <c r="O63" s="301"/>
      <c r="P63" s="299"/>
      <c r="Q63" s="299"/>
      <c r="R63" s="299"/>
      <c r="S63" s="301">
        <f t="shared" si="9"/>
        <v>90000</v>
      </c>
      <c r="T63" s="301"/>
      <c r="U63" s="301">
        <v>90000</v>
      </c>
      <c r="V63" s="299">
        <f t="shared" si="10"/>
        <v>11712</v>
      </c>
      <c r="W63" s="299">
        <f t="shared" si="11"/>
        <v>11712</v>
      </c>
      <c r="X63" s="299">
        <v>11712</v>
      </c>
      <c r="Y63" s="299">
        <v>11712</v>
      </c>
      <c r="Z63" s="293" t="s">
        <v>178</v>
      </c>
      <c r="AA63" s="805"/>
      <c r="AB63" s="10"/>
      <c r="AC63" s="10"/>
      <c r="AD63" s="10"/>
      <c r="AE63" s="10"/>
      <c r="AF63" s="10"/>
      <c r="AG63" s="10"/>
      <c r="AH63" s="11"/>
      <c r="AJ63" s="784"/>
      <c r="AL63" s="784"/>
      <c r="AN63" s="784"/>
      <c r="AT63" s="13"/>
      <c r="AU63" s="14"/>
      <c r="AV63" s="13"/>
      <c r="AW63" s="14"/>
      <c r="FR63" s="784"/>
      <c r="FS63" s="807"/>
    </row>
    <row r="64" spans="1:175" ht="78" outlineLevel="1">
      <c r="A64" s="292">
        <f ca="1">MAX(A$14:$B63)+1</f>
        <v>51</v>
      </c>
      <c r="B64" s="291" t="s">
        <v>179</v>
      </c>
      <c r="C64" s="293" t="s">
        <v>162</v>
      </c>
      <c r="D64" s="293" t="s">
        <v>47</v>
      </c>
      <c r="E64" s="293"/>
      <c r="F64" s="293" t="s">
        <v>57</v>
      </c>
      <c r="G64" s="293" t="s">
        <v>180</v>
      </c>
      <c r="H64" s="308">
        <f>I64</f>
        <v>80000</v>
      </c>
      <c r="I64" s="308">
        <v>80000</v>
      </c>
      <c r="J64" s="308">
        <v>29000</v>
      </c>
      <c r="K64" s="308"/>
      <c r="L64" s="308"/>
      <c r="M64" s="804"/>
      <c r="N64" s="804"/>
      <c r="O64" s="301"/>
      <c r="P64" s="299"/>
      <c r="Q64" s="299"/>
      <c r="R64" s="299"/>
      <c r="S64" s="301">
        <f t="shared" si="9"/>
        <v>24019</v>
      </c>
      <c r="T64" s="301"/>
      <c r="U64" s="301">
        <v>24019</v>
      </c>
      <c r="V64" s="299">
        <f t="shared" si="10"/>
        <v>26981</v>
      </c>
      <c r="W64" s="299">
        <f t="shared" si="11"/>
        <v>26981</v>
      </c>
      <c r="X64" s="299">
        <v>26981</v>
      </c>
      <c r="Y64" s="299">
        <v>26981</v>
      </c>
      <c r="Z64" s="293"/>
      <c r="AA64" s="805"/>
      <c r="AB64" s="10"/>
      <c r="AC64" s="10"/>
      <c r="AD64" s="10"/>
      <c r="AE64" s="10"/>
      <c r="AF64" s="10"/>
      <c r="AG64" s="10"/>
      <c r="AH64" s="11"/>
      <c r="AJ64" s="784"/>
      <c r="AL64" s="784"/>
      <c r="AN64" s="784"/>
      <c r="AT64" s="13"/>
      <c r="AU64" s="14"/>
      <c r="AV64" s="13"/>
      <c r="AW64" s="14"/>
      <c r="FR64" s="784"/>
      <c r="FS64" s="807"/>
    </row>
    <row r="65" spans="1:175" ht="78" outlineLevel="1">
      <c r="A65" s="292">
        <f ca="1">MAX(A$14:$B64)+1</f>
        <v>52</v>
      </c>
      <c r="B65" s="291" t="s">
        <v>181</v>
      </c>
      <c r="C65" s="293" t="s">
        <v>162</v>
      </c>
      <c r="D65" s="293" t="s">
        <v>84</v>
      </c>
      <c r="E65" s="293"/>
      <c r="F65" s="293" t="s">
        <v>54</v>
      </c>
      <c r="G65" s="293" t="s">
        <v>182</v>
      </c>
      <c r="H65" s="308">
        <f>I65</f>
        <v>45000</v>
      </c>
      <c r="I65" s="308">
        <v>45000</v>
      </c>
      <c r="J65" s="308"/>
      <c r="K65" s="308"/>
      <c r="L65" s="308"/>
      <c r="M65" s="804"/>
      <c r="N65" s="804"/>
      <c r="O65" s="301"/>
      <c r="P65" s="299"/>
      <c r="Q65" s="299"/>
      <c r="R65" s="299"/>
      <c r="S65" s="301">
        <f t="shared" si="9"/>
        <v>36151.844370999999</v>
      </c>
      <c r="T65" s="301"/>
      <c r="U65" s="301">
        <v>36151.844370999999</v>
      </c>
      <c r="V65" s="299">
        <f t="shared" si="10"/>
        <v>8848.1556290000008</v>
      </c>
      <c r="W65" s="299">
        <f t="shared" si="11"/>
        <v>8848.1556290000008</v>
      </c>
      <c r="X65" s="299">
        <v>8848.1556</v>
      </c>
      <c r="Y65" s="299">
        <v>4424.0778</v>
      </c>
      <c r="Z65" s="293"/>
      <c r="AA65" s="805"/>
      <c r="AB65" s="10"/>
      <c r="AC65" s="10"/>
      <c r="AD65" s="10"/>
      <c r="AE65" s="10"/>
      <c r="AF65" s="10"/>
      <c r="AG65" s="10"/>
      <c r="AH65" s="11"/>
      <c r="AJ65" s="784"/>
      <c r="AL65" s="784"/>
      <c r="AN65" s="784"/>
      <c r="AT65" s="13"/>
      <c r="AU65" s="14"/>
      <c r="AV65" s="13"/>
      <c r="AW65" s="14"/>
      <c r="FR65" s="784"/>
      <c r="FS65" s="807"/>
    </row>
    <row r="66" spans="1:175" ht="78" outlineLevel="1">
      <c r="A66" s="292">
        <f ca="1">MAX(A$14:$B65)+1</f>
        <v>53</v>
      </c>
      <c r="B66" s="291" t="s">
        <v>183</v>
      </c>
      <c r="C66" s="293" t="s">
        <v>162</v>
      </c>
      <c r="D66" s="293" t="s">
        <v>84</v>
      </c>
      <c r="E66" s="293"/>
      <c r="F66" s="293" t="s">
        <v>184</v>
      </c>
      <c r="G66" s="293" t="s">
        <v>185</v>
      </c>
      <c r="H66" s="308">
        <v>139990</v>
      </c>
      <c r="I66" s="308">
        <v>139990</v>
      </c>
      <c r="J66" s="308"/>
      <c r="K66" s="308"/>
      <c r="L66" s="308"/>
      <c r="M66" s="804"/>
      <c r="N66" s="804"/>
      <c r="O66" s="301"/>
      <c r="P66" s="299"/>
      <c r="Q66" s="299"/>
      <c r="R66" s="299"/>
      <c r="S66" s="301">
        <f t="shared" si="9"/>
        <v>124523</v>
      </c>
      <c r="T66" s="301"/>
      <c r="U66" s="301">
        <v>124523</v>
      </c>
      <c r="V66" s="299">
        <f t="shared" si="10"/>
        <v>15467</v>
      </c>
      <c r="W66" s="299">
        <f t="shared" si="11"/>
        <v>15467</v>
      </c>
      <c r="X66" s="299">
        <v>15467</v>
      </c>
      <c r="Y66" s="299">
        <v>13000</v>
      </c>
      <c r="Z66" s="293"/>
      <c r="AA66" s="805"/>
      <c r="AB66" s="10"/>
      <c r="AC66" s="10"/>
      <c r="AD66" s="10"/>
      <c r="AE66" s="10"/>
      <c r="AF66" s="10"/>
      <c r="AG66" s="10"/>
      <c r="AH66" s="11"/>
      <c r="AJ66" s="784"/>
      <c r="AL66" s="784"/>
      <c r="AN66" s="784"/>
      <c r="AT66" s="13"/>
      <c r="AU66" s="14"/>
      <c r="AV66" s="13"/>
      <c r="AW66" s="14"/>
      <c r="FR66" s="784"/>
      <c r="FS66" s="807"/>
    </row>
    <row r="67" spans="1:175" ht="78" outlineLevel="1">
      <c r="A67" s="292">
        <f ca="1">MAX(A$14:$B66)+1</f>
        <v>54</v>
      </c>
      <c r="B67" s="291" t="s">
        <v>186</v>
      </c>
      <c r="C67" s="293" t="s">
        <v>162</v>
      </c>
      <c r="D67" s="293" t="s">
        <v>84</v>
      </c>
      <c r="E67" s="293"/>
      <c r="F67" s="293" t="s">
        <v>48</v>
      </c>
      <c r="G67" s="293" t="s">
        <v>187</v>
      </c>
      <c r="H67" s="308">
        <v>79990</v>
      </c>
      <c r="I67" s="308">
        <v>79990</v>
      </c>
      <c r="J67" s="308"/>
      <c r="K67" s="308"/>
      <c r="L67" s="308"/>
      <c r="M67" s="804"/>
      <c r="N67" s="804"/>
      <c r="O67" s="301"/>
      <c r="P67" s="299"/>
      <c r="Q67" s="299"/>
      <c r="R67" s="299"/>
      <c r="S67" s="301">
        <f t="shared" si="9"/>
        <v>45000</v>
      </c>
      <c r="T67" s="301"/>
      <c r="U67" s="301">
        <v>45000</v>
      </c>
      <c r="V67" s="299">
        <f t="shared" si="10"/>
        <v>34990</v>
      </c>
      <c r="W67" s="299">
        <f t="shared" si="11"/>
        <v>34990</v>
      </c>
      <c r="X67" s="299">
        <v>34990</v>
      </c>
      <c r="Y67" s="299">
        <v>24000</v>
      </c>
      <c r="Z67" s="293"/>
      <c r="AA67" s="805"/>
      <c r="AB67" s="10"/>
      <c r="AC67" s="10"/>
      <c r="AD67" s="10"/>
      <c r="AE67" s="10"/>
      <c r="AF67" s="10"/>
      <c r="AG67" s="10"/>
      <c r="AH67" s="11"/>
      <c r="AJ67" s="784"/>
      <c r="AL67" s="784"/>
      <c r="AN67" s="784"/>
      <c r="AT67" s="13"/>
      <c r="AU67" s="14"/>
      <c r="AV67" s="13"/>
      <c r="AW67" s="14"/>
      <c r="FR67" s="784"/>
      <c r="FS67" s="807"/>
    </row>
    <row r="68" spans="1:175" ht="78" outlineLevel="1">
      <c r="A68" s="292">
        <f ca="1">MAX(A$14:$B67)+1</f>
        <v>55</v>
      </c>
      <c r="B68" s="291" t="s">
        <v>188</v>
      </c>
      <c r="C68" s="293" t="s">
        <v>162</v>
      </c>
      <c r="D68" s="293" t="s">
        <v>84</v>
      </c>
      <c r="E68" s="293"/>
      <c r="F68" s="293" t="s">
        <v>85</v>
      </c>
      <c r="G68" s="293"/>
      <c r="H68" s="308">
        <v>4100</v>
      </c>
      <c r="I68" s="308">
        <v>4100</v>
      </c>
      <c r="J68" s="308"/>
      <c r="K68" s="308"/>
      <c r="L68" s="308"/>
      <c r="M68" s="804"/>
      <c r="N68" s="804"/>
      <c r="O68" s="301"/>
      <c r="P68" s="299"/>
      <c r="Q68" s="299"/>
      <c r="R68" s="299"/>
      <c r="S68" s="301">
        <f t="shared" si="9"/>
        <v>1737.05</v>
      </c>
      <c r="T68" s="301"/>
      <c r="U68" s="301">
        <v>1737.05</v>
      </c>
      <c r="V68" s="299">
        <f t="shared" si="10"/>
        <v>2362.9499999999998</v>
      </c>
      <c r="W68" s="299">
        <f t="shared" si="11"/>
        <v>2362.9499999999998</v>
      </c>
      <c r="X68" s="299">
        <v>2362.9499999999998</v>
      </c>
      <c r="Y68" s="299">
        <v>2362.9499999999998</v>
      </c>
      <c r="Z68" s="293"/>
      <c r="AA68" s="805"/>
      <c r="AB68" s="10"/>
      <c r="AC68" s="10"/>
      <c r="AD68" s="10"/>
      <c r="AE68" s="10"/>
      <c r="AF68" s="10"/>
      <c r="AG68" s="10"/>
      <c r="AH68" s="11"/>
      <c r="AJ68" s="784"/>
      <c r="AL68" s="784"/>
      <c r="AN68" s="784"/>
      <c r="AT68" s="13"/>
      <c r="AU68" s="14"/>
      <c r="AV68" s="13"/>
      <c r="AW68" s="14"/>
      <c r="FR68" s="784"/>
      <c r="FS68" s="807"/>
    </row>
    <row r="69" spans="1:175" ht="78" outlineLevel="1">
      <c r="A69" s="292">
        <f ca="1">MAX(A$14:$B68)+1</f>
        <v>56</v>
      </c>
      <c r="B69" s="291" t="s">
        <v>189</v>
      </c>
      <c r="C69" s="293" t="s">
        <v>162</v>
      </c>
      <c r="D69" s="293" t="s">
        <v>47</v>
      </c>
      <c r="E69" s="293"/>
      <c r="F69" s="293" t="s">
        <v>190</v>
      </c>
      <c r="G69" s="293" t="s">
        <v>191</v>
      </c>
      <c r="H69" s="308">
        <v>121041</v>
      </c>
      <c r="I69" s="308">
        <v>121041</v>
      </c>
      <c r="J69" s="308">
        <v>32761</v>
      </c>
      <c r="K69" s="308"/>
      <c r="L69" s="308"/>
      <c r="M69" s="804"/>
      <c r="N69" s="804"/>
      <c r="O69" s="301"/>
      <c r="P69" s="299"/>
      <c r="Q69" s="299"/>
      <c r="R69" s="299"/>
      <c r="S69" s="301">
        <f t="shared" si="9"/>
        <v>44000.877552999998</v>
      </c>
      <c r="T69" s="301"/>
      <c r="U69" s="301">
        <v>44000.877552999998</v>
      </c>
      <c r="V69" s="299">
        <f t="shared" si="10"/>
        <v>44279.122447000002</v>
      </c>
      <c r="W69" s="299">
        <f t="shared" si="11"/>
        <v>44279.122447000002</v>
      </c>
      <c r="X69" s="299">
        <v>15000</v>
      </c>
      <c r="Y69" s="299">
        <v>15000</v>
      </c>
      <c r="Z69" s="293"/>
      <c r="AA69" s="805"/>
      <c r="AB69" s="10"/>
      <c r="AC69" s="10"/>
      <c r="AD69" s="10"/>
      <c r="AE69" s="10"/>
      <c r="AF69" s="10"/>
      <c r="AG69" s="10"/>
      <c r="AH69" s="11"/>
      <c r="AJ69" s="784"/>
      <c r="AL69" s="784"/>
      <c r="AN69" s="784"/>
      <c r="AT69" s="13"/>
      <c r="AU69" s="14"/>
      <c r="AV69" s="13"/>
      <c r="AW69" s="14"/>
      <c r="FR69" s="784"/>
      <c r="FS69" s="807"/>
    </row>
    <row r="70" spans="1:175" ht="78" outlineLevel="1">
      <c r="A70" s="292">
        <f ca="1">MAX(A$14:$B69)+1</f>
        <v>57</v>
      </c>
      <c r="B70" s="291" t="s">
        <v>192</v>
      </c>
      <c r="C70" s="293" t="s">
        <v>162</v>
      </c>
      <c r="D70" s="293" t="s">
        <v>84</v>
      </c>
      <c r="E70" s="293"/>
      <c r="F70" s="293" t="s">
        <v>154</v>
      </c>
      <c r="G70" s="293" t="s">
        <v>193</v>
      </c>
      <c r="H70" s="308">
        <v>70000</v>
      </c>
      <c r="I70" s="308">
        <v>70000</v>
      </c>
      <c r="J70" s="308">
        <v>0</v>
      </c>
      <c r="K70" s="308"/>
      <c r="L70" s="308"/>
      <c r="M70" s="804"/>
      <c r="N70" s="804"/>
      <c r="O70" s="301"/>
      <c r="P70" s="299"/>
      <c r="Q70" s="299"/>
      <c r="R70" s="299"/>
      <c r="S70" s="301">
        <f t="shared" si="9"/>
        <v>5646</v>
      </c>
      <c r="T70" s="301"/>
      <c r="U70" s="301">
        <v>5646</v>
      </c>
      <c r="V70" s="299">
        <f t="shared" si="10"/>
        <v>64354</v>
      </c>
      <c r="W70" s="299">
        <f t="shared" si="11"/>
        <v>64354</v>
      </c>
      <c r="X70" s="299">
        <v>15000</v>
      </c>
      <c r="Y70" s="299">
        <v>15000</v>
      </c>
      <c r="Z70" s="293"/>
      <c r="AA70" s="805"/>
      <c r="AB70" s="10"/>
      <c r="AC70" s="10"/>
      <c r="AD70" s="10"/>
      <c r="AE70" s="10"/>
      <c r="AF70" s="10"/>
      <c r="AG70" s="10"/>
      <c r="AH70" s="11"/>
      <c r="AJ70" s="784"/>
      <c r="AL70" s="784"/>
      <c r="AN70" s="784"/>
      <c r="AT70" s="13"/>
      <c r="AU70" s="14"/>
      <c r="AV70" s="13"/>
      <c r="AW70" s="14"/>
      <c r="FR70" s="784"/>
      <c r="FS70" s="807"/>
    </row>
    <row r="71" spans="1:175" ht="78" outlineLevel="1">
      <c r="A71" s="292">
        <f ca="1">MAX(A$14:$B70)+1</f>
        <v>58</v>
      </c>
      <c r="B71" s="291" t="s">
        <v>195</v>
      </c>
      <c r="C71" s="293" t="s">
        <v>162</v>
      </c>
      <c r="D71" s="293" t="s">
        <v>84</v>
      </c>
      <c r="E71" s="293"/>
      <c r="F71" s="293" t="s">
        <v>154</v>
      </c>
      <c r="G71" s="293" t="s">
        <v>196</v>
      </c>
      <c r="H71" s="308">
        <v>100000</v>
      </c>
      <c r="I71" s="308">
        <v>100000</v>
      </c>
      <c r="J71" s="308">
        <v>0</v>
      </c>
      <c r="K71" s="308"/>
      <c r="L71" s="308"/>
      <c r="M71" s="804"/>
      <c r="N71" s="804"/>
      <c r="O71" s="301"/>
      <c r="P71" s="299"/>
      <c r="Q71" s="299"/>
      <c r="R71" s="299"/>
      <c r="S71" s="301">
        <f t="shared" si="9"/>
        <v>75694</v>
      </c>
      <c r="T71" s="301"/>
      <c r="U71" s="301">
        <v>75694</v>
      </c>
      <c r="V71" s="299">
        <f t="shared" si="10"/>
        <v>24306</v>
      </c>
      <c r="W71" s="299">
        <f t="shared" si="11"/>
        <v>24306</v>
      </c>
      <c r="X71" s="299">
        <v>7000</v>
      </c>
      <c r="Y71" s="299">
        <v>7000</v>
      </c>
      <c r="Z71" s="293"/>
      <c r="AA71" s="805"/>
      <c r="AB71" s="10"/>
      <c r="AC71" s="10"/>
      <c r="AD71" s="10"/>
      <c r="AE71" s="10"/>
      <c r="AF71" s="10"/>
      <c r="AG71" s="10"/>
      <c r="AH71" s="11"/>
      <c r="AJ71" s="784"/>
      <c r="AL71" s="784"/>
      <c r="AN71" s="784"/>
      <c r="AT71" s="13"/>
      <c r="AU71" s="14"/>
      <c r="AV71" s="13"/>
      <c r="AW71" s="14"/>
      <c r="FR71" s="784"/>
      <c r="FS71" s="807"/>
    </row>
    <row r="72" spans="1:175" ht="78" outlineLevel="1">
      <c r="A72" s="292">
        <f ca="1">MAX(A$14:$B71)+1</f>
        <v>59</v>
      </c>
      <c r="B72" s="291" t="s">
        <v>197</v>
      </c>
      <c r="C72" s="293" t="s">
        <v>162</v>
      </c>
      <c r="D72" s="293" t="s">
        <v>84</v>
      </c>
      <c r="E72" s="293"/>
      <c r="F72" s="293" t="s">
        <v>198</v>
      </c>
      <c r="G72" s="293" t="s">
        <v>199</v>
      </c>
      <c r="H72" s="308">
        <v>45000</v>
      </c>
      <c r="I72" s="308">
        <v>45000</v>
      </c>
      <c r="J72" s="308">
        <v>0</v>
      </c>
      <c r="K72" s="308"/>
      <c r="L72" s="308"/>
      <c r="M72" s="804"/>
      <c r="N72" s="804"/>
      <c r="O72" s="301"/>
      <c r="P72" s="299"/>
      <c r="Q72" s="299"/>
      <c r="R72" s="299"/>
      <c r="S72" s="301">
        <f t="shared" si="9"/>
        <v>6978</v>
      </c>
      <c r="T72" s="301"/>
      <c r="U72" s="301">
        <v>6978</v>
      </c>
      <c r="V72" s="299">
        <f t="shared" si="10"/>
        <v>38022</v>
      </c>
      <c r="W72" s="299">
        <f t="shared" si="11"/>
        <v>38022</v>
      </c>
      <c r="X72" s="299">
        <v>15000</v>
      </c>
      <c r="Y72" s="299">
        <v>15000</v>
      </c>
      <c r="Z72" s="293"/>
      <c r="AA72" s="805"/>
      <c r="AB72" s="10"/>
      <c r="AC72" s="10"/>
      <c r="AD72" s="10"/>
      <c r="AE72" s="10"/>
      <c r="AF72" s="10"/>
      <c r="AG72" s="10"/>
      <c r="AH72" s="11"/>
      <c r="AJ72" s="784"/>
      <c r="AL72" s="784"/>
      <c r="AN72" s="784"/>
      <c r="AT72" s="13"/>
      <c r="AU72" s="14"/>
      <c r="AV72" s="13"/>
      <c r="AW72" s="14"/>
      <c r="FR72" s="784"/>
      <c r="FS72" s="807"/>
    </row>
    <row r="73" spans="1:175" ht="78" outlineLevel="1">
      <c r="A73" s="292">
        <f ca="1">MAX(A$14:$B72)+1</f>
        <v>60</v>
      </c>
      <c r="B73" s="291" t="s">
        <v>200</v>
      </c>
      <c r="C73" s="293" t="s">
        <v>162</v>
      </c>
      <c r="D73" s="293" t="s">
        <v>84</v>
      </c>
      <c r="E73" s="293"/>
      <c r="F73" s="293" t="s">
        <v>92</v>
      </c>
      <c r="G73" s="293" t="s">
        <v>201</v>
      </c>
      <c r="H73" s="308">
        <v>68000</v>
      </c>
      <c r="I73" s="308">
        <v>68000</v>
      </c>
      <c r="J73" s="308">
        <v>0</v>
      </c>
      <c r="K73" s="308"/>
      <c r="L73" s="308"/>
      <c r="M73" s="804"/>
      <c r="N73" s="804"/>
      <c r="O73" s="301"/>
      <c r="P73" s="299"/>
      <c r="Q73" s="299"/>
      <c r="R73" s="299"/>
      <c r="S73" s="301">
        <f t="shared" si="9"/>
        <v>20749.804</v>
      </c>
      <c r="T73" s="301"/>
      <c r="U73" s="301">
        <v>20749.804</v>
      </c>
      <c r="V73" s="299">
        <f t="shared" si="10"/>
        <v>47250.195999999996</v>
      </c>
      <c r="W73" s="299">
        <f t="shared" si="11"/>
        <v>47250.195999999996</v>
      </c>
      <c r="X73" s="299">
        <v>30000</v>
      </c>
      <c r="Y73" s="299">
        <v>15000</v>
      </c>
      <c r="Z73" s="293"/>
      <c r="AA73" s="805"/>
      <c r="AB73" s="10"/>
      <c r="AC73" s="10"/>
      <c r="AD73" s="10"/>
      <c r="AE73" s="10"/>
      <c r="AF73" s="10"/>
      <c r="AG73" s="10"/>
      <c r="AH73" s="11"/>
      <c r="AJ73" s="784"/>
      <c r="AL73" s="784"/>
      <c r="AN73" s="784"/>
      <c r="AT73" s="13"/>
      <c r="AU73" s="14"/>
      <c r="AV73" s="13"/>
      <c r="AW73" s="14"/>
      <c r="FR73" s="784"/>
      <c r="FS73" s="807"/>
    </row>
    <row r="74" spans="1:175" ht="78" outlineLevel="1">
      <c r="A74" s="292">
        <f ca="1">MAX(A$14:$B73)+1</f>
        <v>61</v>
      </c>
      <c r="B74" s="291" t="s">
        <v>202</v>
      </c>
      <c r="C74" s="293" t="s">
        <v>162</v>
      </c>
      <c r="D74" s="293" t="s">
        <v>47</v>
      </c>
      <c r="E74" s="293"/>
      <c r="F74" s="293" t="s">
        <v>51</v>
      </c>
      <c r="G74" s="293" t="s">
        <v>203</v>
      </c>
      <c r="H74" s="308">
        <v>231746</v>
      </c>
      <c r="I74" s="308">
        <v>231746</v>
      </c>
      <c r="J74" s="308">
        <v>0</v>
      </c>
      <c r="K74" s="308"/>
      <c r="L74" s="308"/>
      <c r="M74" s="804"/>
      <c r="N74" s="804"/>
      <c r="O74" s="301"/>
      <c r="P74" s="299"/>
      <c r="Q74" s="299"/>
      <c r="R74" s="299"/>
      <c r="S74" s="301">
        <f t="shared" si="9"/>
        <v>32744</v>
      </c>
      <c r="T74" s="301"/>
      <c r="U74" s="301">
        <v>32744</v>
      </c>
      <c r="V74" s="299">
        <f t="shared" si="10"/>
        <v>199002</v>
      </c>
      <c r="W74" s="299">
        <f t="shared" si="11"/>
        <v>199002</v>
      </c>
      <c r="X74" s="299">
        <v>35000</v>
      </c>
      <c r="Y74" s="299">
        <v>35000</v>
      </c>
      <c r="Z74" s="293"/>
      <c r="AA74" s="805"/>
      <c r="AB74" s="10"/>
      <c r="AC74" s="10"/>
      <c r="AD74" s="10"/>
      <c r="AE74" s="10"/>
      <c r="AF74" s="10"/>
      <c r="AG74" s="10"/>
      <c r="AH74" s="11"/>
      <c r="AJ74" s="784"/>
      <c r="AL74" s="784"/>
      <c r="AN74" s="784"/>
      <c r="AT74" s="13"/>
      <c r="AU74" s="14"/>
      <c r="AV74" s="13"/>
      <c r="AW74" s="14"/>
      <c r="FR74" s="784"/>
      <c r="FS74" s="807"/>
    </row>
    <row r="75" spans="1:175" ht="78" outlineLevel="1">
      <c r="A75" s="292">
        <f ca="1">MAX(A$14:$B74)+1</f>
        <v>62</v>
      </c>
      <c r="B75" s="291" t="s">
        <v>204</v>
      </c>
      <c r="C75" s="293" t="s">
        <v>162</v>
      </c>
      <c r="D75" s="293" t="s">
        <v>47</v>
      </c>
      <c r="E75" s="293"/>
      <c r="F75" s="293" t="s">
        <v>205</v>
      </c>
      <c r="G75" s="293" t="s">
        <v>206</v>
      </c>
      <c r="H75" s="308">
        <v>140372</v>
      </c>
      <c r="I75" s="308">
        <v>140372</v>
      </c>
      <c r="J75" s="308">
        <v>0</v>
      </c>
      <c r="K75" s="308"/>
      <c r="L75" s="308"/>
      <c r="M75" s="804"/>
      <c r="N75" s="804"/>
      <c r="O75" s="301"/>
      <c r="P75" s="299"/>
      <c r="Q75" s="299"/>
      <c r="R75" s="299"/>
      <c r="S75" s="301">
        <f t="shared" si="9"/>
        <v>24961</v>
      </c>
      <c r="T75" s="301"/>
      <c r="U75" s="301">
        <v>24961</v>
      </c>
      <c r="V75" s="299">
        <f t="shared" si="10"/>
        <v>115411</v>
      </c>
      <c r="W75" s="299">
        <f t="shared" si="11"/>
        <v>115411</v>
      </c>
      <c r="X75" s="299">
        <v>35000</v>
      </c>
      <c r="Y75" s="299">
        <v>35000</v>
      </c>
      <c r="Z75" s="293"/>
      <c r="AA75" s="805"/>
      <c r="AB75" s="10"/>
      <c r="AC75" s="10"/>
      <c r="AD75" s="10"/>
      <c r="AE75" s="10"/>
      <c r="AF75" s="10"/>
      <c r="AG75" s="10"/>
      <c r="AH75" s="11"/>
      <c r="AJ75" s="784"/>
      <c r="AL75" s="784"/>
      <c r="AN75" s="784"/>
      <c r="AT75" s="13"/>
      <c r="AU75" s="14"/>
      <c r="AV75" s="13"/>
      <c r="AW75" s="14"/>
      <c r="FR75" s="784"/>
      <c r="FS75" s="807"/>
    </row>
    <row r="76" spans="1:175" ht="78" outlineLevel="1">
      <c r="A76" s="292">
        <f ca="1">MAX(A$14:$B75)+1</f>
        <v>63</v>
      </c>
      <c r="B76" s="291" t="s">
        <v>207</v>
      </c>
      <c r="C76" s="293" t="s">
        <v>162</v>
      </c>
      <c r="D76" s="293" t="s">
        <v>84</v>
      </c>
      <c r="E76" s="293"/>
      <c r="F76" s="293" t="s">
        <v>208</v>
      </c>
      <c r="G76" s="293" t="s">
        <v>209</v>
      </c>
      <c r="H76" s="308">
        <v>36610</v>
      </c>
      <c r="I76" s="308">
        <v>36610</v>
      </c>
      <c r="J76" s="308">
        <v>0</v>
      </c>
      <c r="K76" s="308"/>
      <c r="L76" s="308"/>
      <c r="M76" s="804"/>
      <c r="N76" s="804"/>
      <c r="O76" s="301"/>
      <c r="P76" s="299"/>
      <c r="Q76" s="299"/>
      <c r="R76" s="299"/>
      <c r="S76" s="301">
        <f t="shared" si="9"/>
        <v>1147</v>
      </c>
      <c r="T76" s="301"/>
      <c r="U76" s="301">
        <v>1147</v>
      </c>
      <c r="V76" s="299">
        <f t="shared" si="10"/>
        <v>35463</v>
      </c>
      <c r="W76" s="299">
        <f t="shared" si="11"/>
        <v>35463</v>
      </c>
      <c r="X76" s="299">
        <v>15000</v>
      </c>
      <c r="Y76" s="299">
        <v>3000</v>
      </c>
      <c r="Z76" s="293"/>
      <c r="AA76" s="805"/>
      <c r="AB76" s="10"/>
      <c r="AC76" s="10"/>
      <c r="AD76" s="10"/>
      <c r="AE76" s="10"/>
      <c r="AF76" s="10"/>
      <c r="AG76" s="10"/>
      <c r="AH76" s="11"/>
      <c r="AJ76" s="784"/>
      <c r="AL76" s="784"/>
      <c r="AN76" s="784"/>
      <c r="AT76" s="13"/>
      <c r="AU76" s="14"/>
      <c r="AV76" s="13"/>
      <c r="AW76" s="14"/>
      <c r="FR76" s="784"/>
      <c r="FS76" s="807"/>
    </row>
    <row r="77" spans="1:175" ht="78" outlineLevel="1">
      <c r="A77" s="292">
        <f ca="1">MAX(A$14:$B76)+1</f>
        <v>64</v>
      </c>
      <c r="B77" s="291" t="s">
        <v>210</v>
      </c>
      <c r="C77" s="293" t="s">
        <v>162</v>
      </c>
      <c r="D77" s="293" t="s">
        <v>47</v>
      </c>
      <c r="E77" s="293"/>
      <c r="F77" s="293" t="s">
        <v>194</v>
      </c>
      <c r="G77" s="293" t="s">
        <v>211</v>
      </c>
      <c r="H77" s="308">
        <v>154000</v>
      </c>
      <c r="I77" s="308">
        <v>154000</v>
      </c>
      <c r="J77" s="308">
        <v>0</v>
      </c>
      <c r="K77" s="308"/>
      <c r="L77" s="308"/>
      <c r="M77" s="804"/>
      <c r="N77" s="804"/>
      <c r="O77" s="301"/>
      <c r="P77" s="299"/>
      <c r="Q77" s="299"/>
      <c r="R77" s="299"/>
      <c r="S77" s="301">
        <f t="shared" si="9"/>
        <v>9400</v>
      </c>
      <c r="T77" s="301"/>
      <c r="U77" s="301">
        <v>9400</v>
      </c>
      <c r="V77" s="299">
        <f t="shared" si="10"/>
        <v>144600</v>
      </c>
      <c r="W77" s="299">
        <f t="shared" si="11"/>
        <v>144600</v>
      </c>
      <c r="X77" s="299">
        <v>30000</v>
      </c>
      <c r="Y77" s="299">
        <v>12000</v>
      </c>
      <c r="Z77" s="293"/>
      <c r="AA77" s="805"/>
      <c r="AB77" s="10"/>
      <c r="AC77" s="10"/>
      <c r="AD77" s="10"/>
      <c r="AE77" s="10"/>
      <c r="AF77" s="10"/>
      <c r="AG77" s="10"/>
      <c r="AH77" s="11"/>
      <c r="AJ77" s="784"/>
      <c r="AL77" s="784"/>
      <c r="AN77" s="784"/>
      <c r="AT77" s="13"/>
      <c r="AU77" s="14"/>
      <c r="AV77" s="13"/>
      <c r="AW77" s="14"/>
      <c r="FR77" s="784"/>
      <c r="FS77" s="807"/>
    </row>
    <row r="78" spans="1:175" ht="78" outlineLevel="1">
      <c r="A78" s="292">
        <f ca="1">MAX(A$14:$B77)+1</f>
        <v>65</v>
      </c>
      <c r="B78" s="291" t="s">
        <v>212</v>
      </c>
      <c r="C78" s="293" t="s">
        <v>162</v>
      </c>
      <c r="D78" s="293" t="s">
        <v>47</v>
      </c>
      <c r="E78" s="293"/>
      <c r="F78" s="293" t="s">
        <v>154</v>
      </c>
      <c r="G78" s="293" t="s">
        <v>213</v>
      </c>
      <c r="H78" s="308">
        <v>160000</v>
      </c>
      <c r="I78" s="308">
        <v>160000</v>
      </c>
      <c r="J78" s="308">
        <v>0</v>
      </c>
      <c r="K78" s="308"/>
      <c r="L78" s="308"/>
      <c r="M78" s="804"/>
      <c r="N78" s="804"/>
      <c r="O78" s="301"/>
      <c r="P78" s="299"/>
      <c r="Q78" s="299"/>
      <c r="R78" s="299"/>
      <c r="S78" s="301">
        <f t="shared" si="9"/>
        <v>9000</v>
      </c>
      <c r="T78" s="301"/>
      <c r="U78" s="301">
        <v>9000</v>
      </c>
      <c r="V78" s="299">
        <f t="shared" si="10"/>
        <v>151000</v>
      </c>
      <c r="W78" s="299">
        <f t="shared" si="11"/>
        <v>151000</v>
      </c>
      <c r="X78" s="299">
        <v>15000</v>
      </c>
      <c r="Y78" s="299">
        <v>15000</v>
      </c>
      <c r="Z78" s="293"/>
      <c r="AA78" s="805"/>
      <c r="AB78" s="10"/>
      <c r="AC78" s="10"/>
      <c r="AD78" s="10"/>
      <c r="AE78" s="10"/>
      <c r="AF78" s="10"/>
      <c r="AG78" s="10"/>
      <c r="AH78" s="11"/>
      <c r="AJ78" s="784"/>
      <c r="AL78" s="784"/>
      <c r="AN78" s="784"/>
      <c r="AT78" s="13"/>
      <c r="AU78" s="14"/>
      <c r="AV78" s="13"/>
      <c r="AW78" s="14"/>
      <c r="FR78" s="784"/>
      <c r="FS78" s="807"/>
    </row>
    <row r="79" spans="1:175" ht="78" outlineLevel="1">
      <c r="A79" s="292">
        <f ca="1">MAX(A$14:$B78)+1</f>
        <v>66</v>
      </c>
      <c r="B79" s="291" t="s">
        <v>214</v>
      </c>
      <c r="C79" s="293" t="s">
        <v>162</v>
      </c>
      <c r="D79" s="293" t="s">
        <v>47</v>
      </c>
      <c r="E79" s="293"/>
      <c r="F79" s="293" t="s">
        <v>51</v>
      </c>
      <c r="G79" s="293" t="s">
        <v>215</v>
      </c>
      <c r="H79" s="308">
        <v>80000</v>
      </c>
      <c r="I79" s="308">
        <v>80000</v>
      </c>
      <c r="J79" s="308">
        <v>0</v>
      </c>
      <c r="K79" s="308"/>
      <c r="L79" s="308"/>
      <c r="M79" s="804"/>
      <c r="N79" s="804"/>
      <c r="O79" s="301"/>
      <c r="P79" s="299"/>
      <c r="Q79" s="299"/>
      <c r="R79" s="299"/>
      <c r="S79" s="301">
        <f t="shared" si="9"/>
        <v>24815</v>
      </c>
      <c r="T79" s="301"/>
      <c r="U79" s="301">
        <v>24815</v>
      </c>
      <c r="V79" s="299">
        <f t="shared" si="10"/>
        <v>55185</v>
      </c>
      <c r="W79" s="299">
        <v>40000</v>
      </c>
      <c r="X79" s="299">
        <v>10000</v>
      </c>
      <c r="Y79" s="299">
        <v>10000</v>
      </c>
      <c r="Z79" s="293"/>
      <c r="AA79" s="805"/>
      <c r="AB79" s="10"/>
      <c r="AC79" s="10"/>
      <c r="AD79" s="10"/>
      <c r="AE79" s="10"/>
      <c r="AF79" s="10"/>
      <c r="AG79" s="10"/>
      <c r="AH79" s="11"/>
      <c r="AJ79" s="784"/>
      <c r="AL79" s="784"/>
      <c r="AN79" s="784"/>
      <c r="AT79" s="13"/>
      <c r="AU79" s="14"/>
      <c r="AV79" s="13"/>
      <c r="AW79" s="14"/>
      <c r="FR79" s="784"/>
      <c r="FS79" s="807"/>
    </row>
    <row r="80" spans="1:175" ht="78" outlineLevel="1">
      <c r="A80" s="292">
        <f ca="1">MAX(A$14:$B79)+1</f>
        <v>67</v>
      </c>
      <c r="B80" s="291" t="s">
        <v>217</v>
      </c>
      <c r="C80" s="293" t="s">
        <v>162</v>
      </c>
      <c r="D80" s="293" t="s">
        <v>84</v>
      </c>
      <c r="E80" s="293"/>
      <c r="F80" s="293" t="s">
        <v>218</v>
      </c>
      <c r="G80" s="293" t="s">
        <v>219</v>
      </c>
      <c r="H80" s="308">
        <f>I80</f>
        <v>70000</v>
      </c>
      <c r="I80" s="308">
        <v>70000</v>
      </c>
      <c r="J80" s="308">
        <v>26500</v>
      </c>
      <c r="K80" s="308"/>
      <c r="L80" s="308"/>
      <c r="M80" s="804"/>
      <c r="N80" s="804"/>
      <c r="O80" s="301"/>
      <c r="P80" s="299"/>
      <c r="Q80" s="299"/>
      <c r="R80" s="299"/>
      <c r="S80" s="301">
        <f t="shared" si="9"/>
        <v>1506.5856999999996</v>
      </c>
      <c r="T80" s="301"/>
      <c r="U80" s="301">
        <v>1506.5856999999996</v>
      </c>
      <c r="V80" s="299">
        <f t="shared" si="10"/>
        <v>41993.414300000004</v>
      </c>
      <c r="W80" s="299">
        <f>H80-U80</f>
        <v>68493.414300000004</v>
      </c>
      <c r="X80" s="299">
        <v>15000</v>
      </c>
      <c r="Y80" s="299">
        <v>15000</v>
      </c>
      <c r="Z80" s="293"/>
      <c r="AA80" s="805"/>
      <c r="AB80" s="10"/>
      <c r="AC80" s="10"/>
      <c r="AD80" s="10"/>
      <c r="AE80" s="10"/>
      <c r="AF80" s="10"/>
      <c r="AG80" s="10"/>
      <c r="AH80" s="11"/>
      <c r="AJ80" s="784"/>
      <c r="AL80" s="784"/>
      <c r="AN80" s="784"/>
      <c r="AT80" s="13"/>
      <c r="AU80" s="14"/>
      <c r="AV80" s="13"/>
      <c r="AW80" s="14"/>
      <c r="FR80" s="784"/>
      <c r="FS80" s="807"/>
    </row>
    <row r="81" spans="1:176" ht="78" outlineLevel="1">
      <c r="A81" s="292">
        <f ca="1">MAX(A$14:$B80)+1</f>
        <v>68</v>
      </c>
      <c r="B81" s="291" t="s">
        <v>220</v>
      </c>
      <c r="C81" s="293" t="s">
        <v>162</v>
      </c>
      <c r="D81" s="293" t="s">
        <v>84</v>
      </c>
      <c r="E81" s="293"/>
      <c r="F81" s="293" t="s">
        <v>216</v>
      </c>
      <c r="G81" s="293" t="s">
        <v>221</v>
      </c>
      <c r="H81" s="308">
        <f>I81</f>
        <v>14858.8</v>
      </c>
      <c r="I81" s="308">
        <v>14858.8</v>
      </c>
      <c r="J81" s="308">
        <v>9215.2800000000007</v>
      </c>
      <c r="K81" s="308"/>
      <c r="L81" s="308"/>
      <c r="M81" s="804"/>
      <c r="N81" s="804"/>
      <c r="O81" s="301"/>
      <c r="P81" s="299"/>
      <c r="Q81" s="299"/>
      <c r="R81" s="299"/>
      <c r="S81" s="301">
        <f t="shared" si="9"/>
        <v>758.71999999999935</v>
      </c>
      <c r="T81" s="301"/>
      <c r="U81" s="301">
        <v>758.71999999999935</v>
      </c>
      <c r="V81" s="299">
        <f t="shared" si="10"/>
        <v>4884.7999999999993</v>
      </c>
      <c r="W81" s="299">
        <f>H81-U81</f>
        <v>14100.08</v>
      </c>
      <c r="X81" s="299">
        <v>3405.3320000000003</v>
      </c>
      <c r="Y81" s="299">
        <v>3405.3320000000003</v>
      </c>
      <c r="Z81" s="293"/>
      <c r="AA81" s="805"/>
      <c r="AB81" s="10"/>
      <c r="AC81" s="10"/>
      <c r="AD81" s="10"/>
      <c r="AE81" s="10"/>
      <c r="AF81" s="10"/>
      <c r="AG81" s="10"/>
      <c r="AH81" s="11"/>
      <c r="AJ81" s="784"/>
      <c r="AL81" s="784"/>
      <c r="AN81" s="784"/>
      <c r="AT81" s="13"/>
      <c r="AU81" s="14"/>
      <c r="AV81" s="13"/>
      <c r="AW81" s="14"/>
      <c r="FR81" s="784"/>
      <c r="FS81" s="807"/>
    </row>
    <row r="82" spans="1:176" ht="78" outlineLevel="1">
      <c r="A82" s="292">
        <f ca="1">MAX(A$14:$B81)+1</f>
        <v>69</v>
      </c>
      <c r="B82" s="291" t="s">
        <v>223</v>
      </c>
      <c r="C82" s="293" t="s">
        <v>162</v>
      </c>
      <c r="D82" s="293" t="s">
        <v>84</v>
      </c>
      <c r="E82" s="293"/>
      <c r="F82" s="293" t="s">
        <v>224</v>
      </c>
      <c r="G82" s="293" t="s">
        <v>225</v>
      </c>
      <c r="H82" s="308">
        <f>I82</f>
        <v>51761</v>
      </c>
      <c r="I82" s="308">
        <v>51761</v>
      </c>
      <c r="J82" s="308"/>
      <c r="K82" s="308"/>
      <c r="L82" s="308"/>
      <c r="M82" s="804"/>
      <c r="N82" s="804"/>
      <c r="O82" s="301"/>
      <c r="P82" s="299"/>
      <c r="Q82" s="299"/>
      <c r="R82" s="299"/>
      <c r="S82" s="301">
        <f t="shared" si="9"/>
        <v>40000</v>
      </c>
      <c r="T82" s="301"/>
      <c r="U82" s="301">
        <v>40000</v>
      </c>
      <c r="V82" s="299">
        <f t="shared" si="10"/>
        <v>11761</v>
      </c>
      <c r="W82" s="299">
        <v>7300</v>
      </c>
      <c r="X82" s="299">
        <v>7300</v>
      </c>
      <c r="Y82" s="299">
        <v>7300</v>
      </c>
      <c r="Z82" s="293"/>
      <c r="AA82" s="805"/>
      <c r="AB82" s="10"/>
      <c r="AC82" s="10"/>
      <c r="AD82" s="10"/>
      <c r="AE82" s="10"/>
      <c r="AF82" s="10"/>
      <c r="AG82" s="10"/>
      <c r="AH82" s="11"/>
      <c r="AJ82" s="784"/>
      <c r="AL82" s="784"/>
      <c r="AN82" s="784"/>
      <c r="AT82" s="13"/>
      <c r="AU82" s="14"/>
      <c r="AV82" s="13"/>
      <c r="AW82" s="14"/>
      <c r="FR82" s="784"/>
      <c r="FS82" s="807"/>
    </row>
    <row r="83" spans="1:176" ht="78" outlineLevel="1">
      <c r="A83" s="292">
        <f ca="1">MAX(A$14:$B82)+1</f>
        <v>70</v>
      </c>
      <c r="B83" s="291" t="s">
        <v>226</v>
      </c>
      <c r="C83" s="293" t="s">
        <v>162</v>
      </c>
      <c r="D83" s="293" t="s">
        <v>47</v>
      </c>
      <c r="E83" s="293"/>
      <c r="F83" s="293" t="s">
        <v>222</v>
      </c>
      <c r="G83" s="293" t="s">
        <v>227</v>
      </c>
      <c r="H83" s="308">
        <v>100000</v>
      </c>
      <c r="I83" s="308">
        <v>100000</v>
      </c>
      <c r="J83" s="308"/>
      <c r="K83" s="308"/>
      <c r="L83" s="308"/>
      <c r="M83" s="804"/>
      <c r="N83" s="804"/>
      <c r="O83" s="301"/>
      <c r="P83" s="299"/>
      <c r="Q83" s="299"/>
      <c r="R83" s="299"/>
      <c r="S83" s="301">
        <f t="shared" si="9"/>
        <v>91975.650000000009</v>
      </c>
      <c r="T83" s="301"/>
      <c r="U83" s="301">
        <v>91975.650000000009</v>
      </c>
      <c r="V83" s="299">
        <f t="shared" si="10"/>
        <v>8024.3499999999913</v>
      </c>
      <c r="W83" s="299">
        <v>8000</v>
      </c>
      <c r="X83" s="299">
        <v>8000</v>
      </c>
      <c r="Y83" s="299">
        <v>8000</v>
      </c>
      <c r="Z83" s="293"/>
      <c r="AA83" s="805"/>
      <c r="AB83" s="10"/>
      <c r="AC83" s="10"/>
      <c r="AD83" s="10"/>
      <c r="AE83" s="10"/>
      <c r="AF83" s="10"/>
      <c r="AG83" s="10"/>
      <c r="AH83" s="11"/>
      <c r="AJ83" s="784"/>
      <c r="AL83" s="784"/>
      <c r="AN83" s="784"/>
      <c r="AT83" s="13"/>
      <c r="AU83" s="14"/>
      <c r="AV83" s="13"/>
      <c r="AW83" s="14"/>
      <c r="FR83" s="784"/>
      <c r="FS83" s="807"/>
    </row>
    <row r="84" spans="1:176" ht="78" outlineLevel="1">
      <c r="A84" s="292">
        <f ca="1">MAX(A$14:$B83)+1</f>
        <v>71</v>
      </c>
      <c r="B84" s="291" t="s">
        <v>228</v>
      </c>
      <c r="C84" s="293" t="s">
        <v>162</v>
      </c>
      <c r="D84" s="293" t="s">
        <v>47</v>
      </c>
      <c r="E84" s="293"/>
      <c r="F84" s="293" t="s">
        <v>154</v>
      </c>
      <c r="G84" s="293" t="s">
        <v>229</v>
      </c>
      <c r="H84" s="308">
        <v>170000</v>
      </c>
      <c r="I84" s="308">
        <v>170000</v>
      </c>
      <c r="J84" s="308"/>
      <c r="K84" s="308"/>
      <c r="L84" s="308"/>
      <c r="M84" s="804"/>
      <c r="N84" s="804"/>
      <c r="O84" s="301"/>
      <c r="P84" s="299"/>
      <c r="Q84" s="299"/>
      <c r="R84" s="299"/>
      <c r="S84" s="301">
        <f t="shared" si="9"/>
        <v>150000</v>
      </c>
      <c r="T84" s="301"/>
      <c r="U84" s="301">
        <v>150000</v>
      </c>
      <c r="V84" s="299">
        <f t="shared" si="10"/>
        <v>20000</v>
      </c>
      <c r="W84" s="299">
        <f>+V84</f>
        <v>20000</v>
      </c>
      <c r="X84" s="299">
        <v>20000</v>
      </c>
      <c r="Y84" s="299">
        <v>20000</v>
      </c>
      <c r="Z84" s="293"/>
      <c r="AA84" s="805"/>
      <c r="AB84" s="10"/>
      <c r="AC84" s="10"/>
      <c r="AD84" s="10"/>
      <c r="AE84" s="10"/>
      <c r="AF84" s="10"/>
      <c r="AG84" s="10"/>
      <c r="AH84" s="11"/>
      <c r="AJ84" s="784"/>
      <c r="AL84" s="784"/>
      <c r="AN84" s="784"/>
      <c r="AT84" s="13"/>
      <c r="AU84" s="14"/>
      <c r="AV84" s="13"/>
      <c r="AW84" s="14"/>
      <c r="FR84" s="784"/>
      <c r="FS84" s="807"/>
    </row>
    <row r="85" spans="1:176" ht="31.2">
      <c r="A85" s="288" t="s">
        <v>230</v>
      </c>
      <c r="B85" s="289" t="s">
        <v>231</v>
      </c>
      <c r="C85" s="290"/>
      <c r="D85" s="290"/>
      <c r="E85" s="290"/>
      <c r="F85" s="290"/>
      <c r="G85" s="290"/>
      <c r="H85" s="290">
        <f t="shared" ref="H85:Y85" si="12">SUM(H86:H89)</f>
        <v>3384483</v>
      </c>
      <c r="I85" s="290">
        <f t="shared" si="12"/>
        <v>1738483</v>
      </c>
      <c r="J85" s="290">
        <f t="shared" si="12"/>
        <v>66702</v>
      </c>
      <c r="K85" s="290">
        <f t="shared" si="12"/>
        <v>0</v>
      </c>
      <c r="L85" s="290">
        <f t="shared" si="12"/>
        <v>0</v>
      </c>
      <c r="M85" s="290">
        <f t="shared" si="12"/>
        <v>0</v>
      </c>
      <c r="N85" s="290">
        <f t="shared" si="12"/>
        <v>0</v>
      </c>
      <c r="O85" s="290">
        <f t="shared" si="12"/>
        <v>0</v>
      </c>
      <c r="P85" s="290">
        <f t="shared" si="12"/>
        <v>0</v>
      </c>
      <c r="Q85" s="290">
        <f t="shared" si="12"/>
        <v>0</v>
      </c>
      <c r="R85" s="290">
        <f t="shared" si="12"/>
        <v>0</v>
      </c>
      <c r="S85" s="290">
        <f t="shared" si="12"/>
        <v>2157720.1072</v>
      </c>
      <c r="T85" s="290">
        <f t="shared" si="12"/>
        <v>1617880</v>
      </c>
      <c r="U85" s="290">
        <f t="shared" si="12"/>
        <v>539840.10720000009</v>
      </c>
      <c r="V85" s="290">
        <f t="shared" si="12"/>
        <v>1160060.8868</v>
      </c>
      <c r="W85" s="290">
        <f t="shared" si="12"/>
        <v>1160060.8868</v>
      </c>
      <c r="X85" s="290">
        <f t="shared" si="12"/>
        <v>657035</v>
      </c>
      <c r="Y85" s="290">
        <f t="shared" si="12"/>
        <v>355000</v>
      </c>
      <c r="Z85" s="290"/>
      <c r="AA85" s="801"/>
      <c r="AB85" s="802" t="e">
        <f>#REF!/X85*100</f>
        <v>#REF!</v>
      </c>
      <c r="AC85" s="802"/>
      <c r="AD85" s="803"/>
      <c r="AE85" s="803"/>
      <c r="AF85" s="802"/>
      <c r="AG85" s="802"/>
      <c r="AH85" s="11"/>
      <c r="AI85" s="11"/>
      <c r="AJ85" s="11"/>
      <c r="AK85" s="11"/>
      <c r="AL85" s="11"/>
      <c r="AM85" s="12"/>
      <c r="AN85" s="13"/>
      <c r="AO85" s="12"/>
      <c r="AP85" s="12"/>
      <c r="AQ85" s="12"/>
      <c r="AR85" s="12"/>
      <c r="AS85" s="12"/>
      <c r="AT85" s="13"/>
      <c r="AU85" s="14"/>
      <c r="AV85" s="13"/>
      <c r="AW85" s="14"/>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c r="CG85" s="12"/>
      <c r="CH85" s="12"/>
      <c r="CI85" s="12"/>
      <c r="CJ85" s="12"/>
      <c r="CK85" s="12"/>
      <c r="CL85" s="12"/>
      <c r="CM85" s="12"/>
      <c r="CN85" s="12"/>
      <c r="CO85" s="12"/>
      <c r="CP85" s="12"/>
      <c r="CQ85" s="12"/>
      <c r="CR85" s="12"/>
      <c r="CS85" s="12"/>
      <c r="CT85" s="12"/>
      <c r="CU85" s="12"/>
      <c r="CV85" s="12"/>
      <c r="CW85" s="12"/>
      <c r="CX85" s="12"/>
      <c r="CY85" s="12"/>
      <c r="CZ85" s="12"/>
      <c r="DA85" s="12"/>
      <c r="DB85" s="12"/>
      <c r="DC85" s="12"/>
      <c r="DD85" s="12"/>
      <c r="DE85" s="12"/>
      <c r="DF85" s="12"/>
      <c r="DG85" s="12"/>
      <c r="DH85" s="12"/>
      <c r="DI85" s="12"/>
      <c r="DJ85" s="12"/>
      <c r="DK85" s="12"/>
      <c r="DL85" s="12"/>
      <c r="DM85" s="12"/>
      <c r="DN85" s="12"/>
      <c r="DO85" s="12"/>
      <c r="DP85" s="12"/>
      <c r="DQ85" s="12"/>
      <c r="DR85" s="12"/>
      <c r="DS85" s="12"/>
      <c r="DT85" s="12"/>
      <c r="DU85" s="12"/>
      <c r="DV85" s="12"/>
      <c r="DW85" s="12"/>
      <c r="DX85" s="12"/>
      <c r="DY85" s="12"/>
      <c r="DZ85" s="12"/>
      <c r="EA85" s="12"/>
      <c r="EB85" s="12"/>
      <c r="EC85" s="12"/>
      <c r="ED85" s="12"/>
      <c r="EE85" s="12"/>
      <c r="EF85" s="12"/>
      <c r="EG85" s="12"/>
      <c r="EH85" s="12"/>
      <c r="EI85" s="12"/>
      <c r="EJ85" s="12"/>
      <c r="EK85" s="12"/>
      <c r="EL85" s="12"/>
      <c r="EM85" s="12"/>
      <c r="EN85" s="12"/>
      <c r="EO85" s="12"/>
      <c r="EP85" s="12"/>
      <c r="EQ85" s="12"/>
      <c r="ER85" s="12"/>
      <c r="ES85" s="12"/>
      <c r="ET85" s="12"/>
      <c r="EU85" s="12"/>
      <c r="EV85" s="12"/>
      <c r="EW85" s="12"/>
      <c r="EX85" s="12"/>
      <c r="EY85" s="12"/>
      <c r="EZ85" s="12"/>
      <c r="FA85" s="12"/>
      <c r="FB85" s="12"/>
      <c r="FC85" s="12"/>
      <c r="FD85" s="12"/>
      <c r="FE85" s="12"/>
      <c r="FF85" s="12"/>
      <c r="FG85" s="12"/>
      <c r="FH85" s="12"/>
      <c r="FI85" s="12"/>
      <c r="FJ85" s="12"/>
      <c r="FK85" s="12"/>
      <c r="FL85" s="12"/>
      <c r="FM85" s="12"/>
      <c r="FN85" s="12"/>
      <c r="FO85" s="12"/>
      <c r="FP85" s="12"/>
      <c r="FQ85" s="12"/>
      <c r="FR85" s="13"/>
      <c r="FS85" s="15"/>
      <c r="FT85" s="290">
        <f>SUM(FT86:FT89)</f>
        <v>0</v>
      </c>
    </row>
    <row r="86" spans="1:176" ht="140.4" outlineLevel="1">
      <c r="A86" s="292">
        <f ca="1">MAX($A$14:A85)+1</f>
        <v>72</v>
      </c>
      <c r="B86" s="291" t="s">
        <v>232</v>
      </c>
      <c r="C86" s="293" t="s">
        <v>233</v>
      </c>
      <c r="D86" s="309" t="s">
        <v>47</v>
      </c>
      <c r="E86" s="309" t="s">
        <v>47</v>
      </c>
      <c r="F86" s="309" t="s">
        <v>184</v>
      </c>
      <c r="G86" s="310" t="s">
        <v>234</v>
      </c>
      <c r="H86" s="301">
        <v>1492600</v>
      </c>
      <c r="I86" s="301">
        <v>746600</v>
      </c>
      <c r="J86" s="301">
        <v>28120</v>
      </c>
      <c r="K86" s="301"/>
      <c r="L86" s="301"/>
      <c r="M86" s="301"/>
      <c r="N86" s="301"/>
      <c r="O86" s="301"/>
      <c r="P86" s="301"/>
      <c r="Q86" s="301"/>
      <c r="R86" s="301"/>
      <c r="S86" s="301">
        <v>817880</v>
      </c>
      <c r="T86" s="312">
        <v>717880</v>
      </c>
      <c r="U86" s="301">
        <v>100000</v>
      </c>
      <c r="V86" s="299">
        <v>646600</v>
      </c>
      <c r="W86" s="299">
        <v>646600</v>
      </c>
      <c r="X86" s="299">
        <v>357035</v>
      </c>
      <c r="Y86" s="299">
        <v>190000</v>
      </c>
      <c r="Z86" s="293" t="s">
        <v>235</v>
      </c>
      <c r="AA86" s="805"/>
      <c r="AB86" s="10"/>
      <c r="AC86" s="10"/>
      <c r="AD86" s="10"/>
      <c r="AE86" s="10"/>
      <c r="AF86" s="10"/>
      <c r="AG86" s="10"/>
      <c r="AH86" s="11"/>
      <c r="AJ86" s="784"/>
      <c r="AL86" s="784"/>
      <c r="AN86" s="784"/>
      <c r="AT86" s="13"/>
      <c r="AU86" s="14"/>
      <c r="AV86" s="13"/>
      <c r="AW86" s="14"/>
      <c r="FR86" s="784"/>
      <c r="FS86" s="807"/>
    </row>
    <row r="87" spans="1:176" ht="78" outlineLevel="1">
      <c r="A87" s="292">
        <f ca="1">MAX($A$14:A86)+1</f>
        <v>73</v>
      </c>
      <c r="B87" s="291" t="s">
        <v>236</v>
      </c>
      <c r="C87" s="293" t="s">
        <v>233</v>
      </c>
      <c r="D87" s="309" t="s">
        <v>47</v>
      </c>
      <c r="E87" s="309" t="s">
        <v>47</v>
      </c>
      <c r="F87" s="309" t="s">
        <v>237</v>
      </c>
      <c r="G87" s="310" t="s">
        <v>238</v>
      </c>
      <c r="H87" s="301">
        <v>134757</v>
      </c>
      <c r="I87" s="301">
        <v>134757</v>
      </c>
      <c r="J87" s="301">
        <v>2569</v>
      </c>
      <c r="K87" s="301"/>
      <c r="L87" s="301"/>
      <c r="M87" s="301"/>
      <c r="N87" s="301"/>
      <c r="O87" s="301"/>
      <c r="P87" s="301"/>
      <c r="Q87" s="301"/>
      <c r="R87" s="301"/>
      <c r="S87" s="301">
        <v>764.6239999999998</v>
      </c>
      <c r="T87" s="313"/>
      <c r="U87" s="301">
        <v>764.6239999999998</v>
      </c>
      <c r="V87" s="299">
        <v>131423.37</v>
      </c>
      <c r="W87" s="299">
        <v>131423.37</v>
      </c>
      <c r="X87" s="299">
        <v>50000</v>
      </c>
      <c r="Y87" s="299">
        <v>5000</v>
      </c>
      <c r="Z87" s="293" t="s">
        <v>239</v>
      </c>
      <c r="AA87" s="805"/>
      <c r="AB87" s="10"/>
      <c r="AC87" s="10"/>
      <c r="AD87" s="10"/>
      <c r="AE87" s="10"/>
      <c r="AF87" s="10"/>
      <c r="AG87" s="10"/>
      <c r="AH87" s="11"/>
      <c r="AJ87" s="784"/>
      <c r="AL87" s="784"/>
      <c r="AN87" s="784"/>
      <c r="AT87" s="13"/>
      <c r="AU87" s="14"/>
      <c r="AV87" s="13"/>
      <c r="AW87" s="14"/>
      <c r="FR87" s="784"/>
      <c r="FS87" s="807"/>
    </row>
    <row r="88" spans="1:176" ht="156" outlineLevel="1">
      <c r="A88" s="292">
        <f ca="1">MAX($A$14:A87)+1</f>
        <v>74</v>
      </c>
      <c r="B88" s="291" t="s">
        <v>240</v>
      </c>
      <c r="C88" s="293" t="s">
        <v>233</v>
      </c>
      <c r="D88" s="309" t="s">
        <v>47</v>
      </c>
      <c r="E88" s="309" t="s">
        <v>47</v>
      </c>
      <c r="F88" s="309" t="s">
        <v>401</v>
      </c>
      <c r="G88" s="310" t="s">
        <v>241</v>
      </c>
      <c r="H88" s="301">
        <v>1300000</v>
      </c>
      <c r="I88" s="301">
        <v>400000</v>
      </c>
      <c r="J88" s="301"/>
      <c r="K88" s="301"/>
      <c r="L88" s="301"/>
      <c r="M88" s="301"/>
      <c r="N88" s="301"/>
      <c r="O88" s="301"/>
      <c r="P88" s="301"/>
      <c r="Q88" s="301"/>
      <c r="R88" s="301"/>
      <c r="S88" s="301">
        <v>1029963</v>
      </c>
      <c r="T88" s="314">
        <v>900000</v>
      </c>
      <c r="U88" s="301">
        <v>129963</v>
      </c>
      <c r="V88" s="299">
        <v>270037</v>
      </c>
      <c r="W88" s="299">
        <v>270037</v>
      </c>
      <c r="X88" s="299">
        <v>200000</v>
      </c>
      <c r="Y88" s="299">
        <v>120000</v>
      </c>
      <c r="Z88" s="293" t="s">
        <v>242</v>
      </c>
      <c r="AA88" s="805"/>
      <c r="AB88" s="10"/>
      <c r="AC88" s="10"/>
      <c r="AD88" s="10"/>
      <c r="AE88" s="10"/>
      <c r="AF88" s="10"/>
      <c r="AG88" s="10"/>
      <c r="AH88" s="11"/>
      <c r="AJ88" s="784"/>
      <c r="AL88" s="784"/>
      <c r="AN88" s="784"/>
      <c r="AT88" s="13"/>
      <c r="AU88" s="14"/>
      <c r="AV88" s="13"/>
      <c r="AW88" s="14"/>
      <c r="FR88" s="784"/>
      <c r="FS88" s="807"/>
    </row>
    <row r="89" spans="1:176" ht="93.6" outlineLevel="1">
      <c r="A89" s="292">
        <f ca="1">MAX($A$14:A88)+1</f>
        <v>75</v>
      </c>
      <c r="B89" s="291" t="s">
        <v>243</v>
      </c>
      <c r="C89" s="293" t="s">
        <v>233</v>
      </c>
      <c r="D89" s="309" t="s">
        <v>47</v>
      </c>
      <c r="E89" s="309"/>
      <c r="F89" s="309" t="s">
        <v>248</v>
      </c>
      <c r="G89" s="310" t="s">
        <v>1778</v>
      </c>
      <c r="H89" s="301">
        <v>457126</v>
      </c>
      <c r="I89" s="301">
        <v>457126</v>
      </c>
      <c r="J89" s="301">
        <v>36013</v>
      </c>
      <c r="K89" s="301"/>
      <c r="L89" s="301"/>
      <c r="M89" s="301"/>
      <c r="N89" s="301"/>
      <c r="O89" s="301"/>
      <c r="P89" s="301"/>
      <c r="Q89" s="301"/>
      <c r="R89" s="301"/>
      <c r="S89" s="301">
        <v>309112.48320000008</v>
      </c>
      <c r="T89" s="312"/>
      <c r="U89" s="301">
        <v>309112.48320000008</v>
      </c>
      <c r="V89" s="299">
        <v>112000.51679999992</v>
      </c>
      <c r="W89" s="299">
        <v>112000.51679999992</v>
      </c>
      <c r="X89" s="299">
        <v>50000</v>
      </c>
      <c r="Y89" s="299">
        <v>40000</v>
      </c>
      <c r="Z89" s="293" t="s">
        <v>244</v>
      </c>
      <c r="AA89" s="805"/>
      <c r="AB89" s="10"/>
      <c r="AC89" s="10"/>
      <c r="AD89" s="10"/>
      <c r="AE89" s="10"/>
      <c r="AF89" s="10"/>
      <c r="AG89" s="10"/>
      <c r="AH89" s="11"/>
      <c r="AJ89" s="784"/>
      <c r="AL89" s="784"/>
      <c r="AN89" s="784"/>
      <c r="AT89" s="13"/>
      <c r="AU89" s="14"/>
      <c r="AV89" s="13"/>
      <c r="AW89" s="14"/>
      <c r="FR89" s="784"/>
      <c r="FS89" s="807"/>
    </row>
    <row r="90" spans="1:176" ht="28.5" customHeight="1">
      <c r="A90" s="288" t="s">
        <v>245</v>
      </c>
      <c r="B90" s="289" t="s">
        <v>246</v>
      </c>
      <c r="C90" s="290"/>
      <c r="D90" s="290"/>
      <c r="E90" s="290"/>
      <c r="F90" s="290"/>
      <c r="G90" s="290"/>
      <c r="H90" s="290">
        <f t="shared" ref="H90:Y90" si="13">SUM(H91:H93)</f>
        <v>427947</v>
      </c>
      <c r="I90" s="290">
        <f t="shared" si="13"/>
        <v>44147</v>
      </c>
      <c r="J90" s="290">
        <f t="shared" si="13"/>
        <v>0</v>
      </c>
      <c r="K90" s="290">
        <f t="shared" si="13"/>
        <v>0</v>
      </c>
      <c r="L90" s="290">
        <f t="shared" si="13"/>
        <v>0</v>
      </c>
      <c r="M90" s="290">
        <f t="shared" si="13"/>
        <v>0</v>
      </c>
      <c r="N90" s="290">
        <f t="shared" si="13"/>
        <v>0</v>
      </c>
      <c r="O90" s="290">
        <f t="shared" si="13"/>
        <v>0</v>
      </c>
      <c r="P90" s="290">
        <f t="shared" si="13"/>
        <v>0</v>
      </c>
      <c r="Q90" s="290">
        <f t="shared" si="13"/>
        <v>0</v>
      </c>
      <c r="R90" s="290">
        <f t="shared" si="13"/>
        <v>0</v>
      </c>
      <c r="S90" s="290">
        <f t="shared" si="13"/>
        <v>383799.677081</v>
      </c>
      <c r="T90" s="290">
        <f t="shared" si="13"/>
        <v>383799.677081</v>
      </c>
      <c r="U90" s="290">
        <f t="shared" si="13"/>
        <v>0</v>
      </c>
      <c r="V90" s="290">
        <f t="shared" si="13"/>
        <v>44147.322918999998</v>
      </c>
      <c r="W90" s="290">
        <f t="shared" si="13"/>
        <v>44147.322918999998</v>
      </c>
      <c r="X90" s="290">
        <f t="shared" si="13"/>
        <v>44147</v>
      </c>
      <c r="Y90" s="290">
        <f t="shared" si="13"/>
        <v>44147</v>
      </c>
      <c r="Z90" s="290"/>
      <c r="AA90" s="801"/>
      <c r="AB90" s="802" t="e">
        <f>#REF!/X90*100</f>
        <v>#REF!</v>
      </c>
      <c r="AC90" s="802"/>
      <c r="AD90" s="803"/>
      <c r="AE90" s="803"/>
      <c r="AF90" s="802"/>
      <c r="AG90" s="802"/>
      <c r="AH90" s="11"/>
      <c r="AI90" s="11"/>
      <c r="AJ90" s="11"/>
      <c r="AK90" s="11"/>
      <c r="AL90" s="11"/>
      <c r="AM90" s="12"/>
      <c r="AN90" s="13"/>
      <c r="AO90" s="12"/>
      <c r="AP90" s="12"/>
      <c r="AQ90" s="12"/>
      <c r="AR90" s="12"/>
      <c r="AS90" s="12"/>
      <c r="AT90" s="13"/>
      <c r="AU90" s="14"/>
      <c r="AV90" s="13"/>
      <c r="AW90" s="14"/>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c r="CW90" s="12"/>
      <c r="CX90" s="12"/>
      <c r="CY90" s="12"/>
      <c r="CZ90" s="12"/>
      <c r="DA90" s="12"/>
      <c r="DB90" s="12"/>
      <c r="DC90" s="12"/>
      <c r="DD90" s="12"/>
      <c r="DE90" s="12"/>
      <c r="DF90" s="12"/>
      <c r="DG90" s="12"/>
      <c r="DH90" s="12"/>
      <c r="DI90" s="12"/>
      <c r="DJ90" s="12"/>
      <c r="DK90" s="12"/>
      <c r="DL90" s="12"/>
      <c r="DM90" s="12"/>
      <c r="DN90" s="12"/>
      <c r="DO90" s="12"/>
      <c r="DP90" s="12"/>
      <c r="DQ90" s="12"/>
      <c r="DR90" s="12"/>
      <c r="DS90" s="12"/>
      <c r="DT90" s="12"/>
      <c r="DU90" s="12"/>
      <c r="DV90" s="12"/>
      <c r="DW90" s="12"/>
      <c r="DX90" s="12"/>
      <c r="DY90" s="12"/>
      <c r="DZ90" s="12"/>
      <c r="EA90" s="12"/>
      <c r="EB90" s="12"/>
      <c r="EC90" s="12"/>
      <c r="ED90" s="12"/>
      <c r="EE90" s="12"/>
      <c r="EF90" s="12"/>
      <c r="EG90" s="12"/>
      <c r="EH90" s="12"/>
      <c r="EI90" s="12"/>
      <c r="EJ90" s="12"/>
      <c r="EK90" s="12"/>
      <c r="EL90" s="12"/>
      <c r="EM90" s="12"/>
      <c r="EN90" s="12"/>
      <c r="EO90" s="12"/>
      <c r="EP90" s="12"/>
      <c r="EQ90" s="12"/>
      <c r="ER90" s="12"/>
      <c r="ES90" s="12"/>
      <c r="ET90" s="12"/>
      <c r="EU90" s="12"/>
      <c r="EV90" s="12"/>
      <c r="EW90" s="12"/>
      <c r="EX90" s="12"/>
      <c r="EY90" s="12"/>
      <c r="EZ90" s="12"/>
      <c r="FA90" s="12"/>
      <c r="FB90" s="12"/>
      <c r="FC90" s="12"/>
      <c r="FD90" s="12"/>
      <c r="FE90" s="12"/>
      <c r="FF90" s="12"/>
      <c r="FG90" s="12"/>
      <c r="FH90" s="12"/>
      <c r="FI90" s="12"/>
      <c r="FJ90" s="12"/>
      <c r="FK90" s="12"/>
      <c r="FL90" s="12"/>
      <c r="FM90" s="12"/>
      <c r="FN90" s="12"/>
      <c r="FO90" s="12"/>
      <c r="FP90" s="12"/>
      <c r="FQ90" s="12"/>
      <c r="FR90" s="13"/>
      <c r="FS90" s="15"/>
      <c r="FT90" s="290">
        <f>SUM(FT91:FT93)</f>
        <v>0</v>
      </c>
    </row>
    <row r="91" spans="1:176" ht="46.8" outlineLevel="1">
      <c r="A91" s="292">
        <f ca="1">MAX(A89:B90)+1</f>
        <v>76</v>
      </c>
      <c r="B91" s="291" t="s">
        <v>247</v>
      </c>
      <c r="C91" s="293" t="s">
        <v>246</v>
      </c>
      <c r="D91" s="293" t="s">
        <v>47</v>
      </c>
      <c r="E91" s="293" t="s">
        <v>84</v>
      </c>
      <c r="F91" s="293" t="s">
        <v>248</v>
      </c>
      <c r="G91" s="28" t="s">
        <v>382</v>
      </c>
      <c r="H91" s="308">
        <v>128940</v>
      </c>
      <c r="I91" s="308">
        <v>13940</v>
      </c>
      <c r="J91" s="308"/>
      <c r="K91" s="308"/>
      <c r="L91" s="308"/>
      <c r="M91" s="804"/>
      <c r="N91" s="804"/>
      <c r="O91" s="301"/>
      <c r="P91" s="299"/>
      <c r="Q91" s="299"/>
      <c r="R91" s="299"/>
      <c r="S91" s="308">
        <f>SUM(T91:U91)</f>
        <v>115000</v>
      </c>
      <c r="T91" s="301">
        <v>115000</v>
      </c>
      <c r="U91" s="308"/>
      <c r="V91" s="308">
        <v>13940</v>
      </c>
      <c r="W91" s="308">
        <v>13940</v>
      </c>
      <c r="X91" s="299">
        <v>13940</v>
      </c>
      <c r="Y91" s="299">
        <v>13940</v>
      </c>
      <c r="Z91" s="293"/>
      <c r="AA91" s="805"/>
      <c r="AB91" s="10"/>
      <c r="AC91" s="10"/>
      <c r="AD91" s="10"/>
      <c r="AE91" s="10"/>
      <c r="AF91" s="10"/>
      <c r="AG91" s="10"/>
      <c r="AH91" s="11"/>
      <c r="AJ91" s="784"/>
      <c r="AL91" s="784"/>
      <c r="AN91" s="784"/>
      <c r="AT91" s="13"/>
      <c r="AU91" s="14"/>
      <c r="AV91" s="13"/>
      <c r="AW91" s="14"/>
      <c r="FR91" s="784"/>
      <c r="FS91" s="807"/>
    </row>
    <row r="92" spans="1:176" ht="46.8" outlineLevel="1">
      <c r="A92" s="292">
        <f ca="1">MAX(A90:B91)+1</f>
        <v>77</v>
      </c>
      <c r="B92" s="291" t="s">
        <v>249</v>
      </c>
      <c r="C92" s="293" t="s">
        <v>246</v>
      </c>
      <c r="D92" s="293" t="s">
        <v>47</v>
      </c>
      <c r="E92" s="293"/>
      <c r="F92" s="293" t="s">
        <v>248</v>
      </c>
      <c r="G92" s="28" t="s">
        <v>381</v>
      </c>
      <c r="H92" s="308">
        <v>129773</v>
      </c>
      <c r="I92" s="308">
        <v>12973</v>
      </c>
      <c r="J92" s="308"/>
      <c r="K92" s="308"/>
      <c r="L92" s="308"/>
      <c r="M92" s="804"/>
      <c r="N92" s="804"/>
      <c r="O92" s="301"/>
      <c r="P92" s="299"/>
      <c r="Q92" s="299"/>
      <c r="R92" s="299"/>
      <c r="S92" s="308">
        <v>116800</v>
      </c>
      <c r="T92" s="301">
        <v>116800</v>
      </c>
      <c r="U92" s="308"/>
      <c r="V92" s="308">
        <v>12973</v>
      </c>
      <c r="W92" s="308">
        <v>12973</v>
      </c>
      <c r="X92" s="299">
        <v>12973</v>
      </c>
      <c r="Y92" s="299">
        <v>12973</v>
      </c>
      <c r="Z92" s="293"/>
      <c r="AA92" s="805"/>
      <c r="AB92" s="10"/>
      <c r="AC92" s="10"/>
      <c r="AD92" s="10"/>
      <c r="AE92" s="10"/>
      <c r="AF92" s="10"/>
      <c r="AG92" s="10"/>
      <c r="AH92" s="11"/>
      <c r="AJ92" s="784"/>
      <c r="AL92" s="784"/>
      <c r="AN92" s="784"/>
      <c r="AT92" s="13"/>
      <c r="AU92" s="14"/>
      <c r="AV92" s="13"/>
      <c r="AW92" s="14"/>
      <c r="FR92" s="784"/>
      <c r="FS92" s="807"/>
    </row>
    <row r="93" spans="1:176" ht="99" customHeight="1" outlineLevel="1">
      <c r="A93" s="292">
        <f ca="1">MAX(A91:B92)+1</f>
        <v>78</v>
      </c>
      <c r="B93" s="291" t="s">
        <v>250</v>
      </c>
      <c r="C93" s="293" t="s">
        <v>246</v>
      </c>
      <c r="D93" s="293" t="s">
        <v>47</v>
      </c>
      <c r="E93" s="293" t="s">
        <v>47</v>
      </c>
      <c r="F93" s="293" t="s">
        <v>54</v>
      </c>
      <c r="G93" s="28" t="s">
        <v>380</v>
      </c>
      <c r="H93" s="308">
        <v>169234</v>
      </c>
      <c r="I93" s="308">
        <v>17234</v>
      </c>
      <c r="J93" s="308"/>
      <c r="K93" s="308"/>
      <c r="L93" s="308"/>
      <c r="M93" s="804"/>
      <c r="N93" s="804"/>
      <c r="O93" s="301"/>
      <c r="P93" s="299"/>
      <c r="Q93" s="299"/>
      <c r="R93" s="299"/>
      <c r="S93" s="308">
        <v>151999.677081</v>
      </c>
      <c r="T93" s="301">
        <v>151999.677081</v>
      </c>
      <c r="U93" s="308"/>
      <c r="V93" s="308">
        <v>17234.322918999998</v>
      </c>
      <c r="W93" s="308">
        <v>17234.322918999998</v>
      </c>
      <c r="X93" s="299">
        <v>17234</v>
      </c>
      <c r="Y93" s="299">
        <v>17234</v>
      </c>
      <c r="Z93" s="293" t="s">
        <v>251</v>
      </c>
      <c r="AA93" s="805"/>
      <c r="AB93" s="10"/>
      <c r="AC93" s="10"/>
      <c r="AD93" s="10"/>
      <c r="AE93" s="10"/>
      <c r="AF93" s="10"/>
      <c r="AG93" s="10"/>
      <c r="AH93" s="11"/>
      <c r="AJ93" s="784"/>
      <c r="AL93" s="784"/>
      <c r="AN93" s="784"/>
      <c r="AT93" s="13"/>
      <c r="AU93" s="14"/>
      <c r="AV93" s="13"/>
      <c r="AW93" s="14"/>
      <c r="FR93" s="784"/>
      <c r="FS93" s="807"/>
    </row>
    <row r="94" spans="1:176" ht="31.2">
      <c r="A94" s="288" t="s">
        <v>252</v>
      </c>
      <c r="B94" s="289" t="s">
        <v>253</v>
      </c>
      <c r="C94" s="290"/>
      <c r="D94" s="290"/>
      <c r="E94" s="290"/>
      <c r="F94" s="290"/>
      <c r="G94" s="290"/>
      <c r="H94" s="290">
        <f t="shared" ref="H94:Y94" si="14">H95</f>
        <v>272240</v>
      </c>
      <c r="I94" s="290">
        <f t="shared" si="14"/>
        <v>272240</v>
      </c>
      <c r="J94" s="290">
        <f t="shared" si="14"/>
        <v>0</v>
      </c>
      <c r="K94" s="290">
        <f t="shared" si="14"/>
        <v>0</v>
      </c>
      <c r="L94" s="290">
        <f t="shared" si="14"/>
        <v>0</v>
      </c>
      <c r="M94" s="290">
        <f t="shared" si="14"/>
        <v>0</v>
      </c>
      <c r="N94" s="290">
        <f t="shared" si="14"/>
        <v>0</v>
      </c>
      <c r="O94" s="290">
        <f t="shared" si="14"/>
        <v>0</v>
      </c>
      <c r="P94" s="290">
        <f t="shared" si="14"/>
        <v>0</v>
      </c>
      <c r="Q94" s="290">
        <f t="shared" si="14"/>
        <v>0</v>
      </c>
      <c r="R94" s="290">
        <f t="shared" si="14"/>
        <v>0</v>
      </c>
      <c r="S94" s="290">
        <f t="shared" si="14"/>
        <v>105040.887</v>
      </c>
      <c r="T94" s="290">
        <f t="shared" si="14"/>
        <v>0</v>
      </c>
      <c r="U94" s="290">
        <f t="shared" si="14"/>
        <v>105040.887</v>
      </c>
      <c r="V94" s="290">
        <f t="shared" si="14"/>
        <v>167199.11300000001</v>
      </c>
      <c r="W94" s="290">
        <f t="shared" si="14"/>
        <v>167199.11300000001</v>
      </c>
      <c r="X94" s="290">
        <f t="shared" si="14"/>
        <v>167199.11300000001</v>
      </c>
      <c r="Y94" s="290">
        <f t="shared" si="14"/>
        <v>95000</v>
      </c>
      <c r="Z94" s="290"/>
      <c r="AA94" s="801"/>
      <c r="AB94" s="802" t="e">
        <f>#REF!/X94*100</f>
        <v>#REF!</v>
      </c>
      <c r="AC94" s="802"/>
      <c r="AD94" s="803"/>
      <c r="AE94" s="803"/>
      <c r="AF94" s="802"/>
      <c r="AG94" s="802"/>
      <c r="AH94" s="11"/>
      <c r="AI94" s="11"/>
      <c r="AJ94" s="11"/>
      <c r="AK94" s="11"/>
      <c r="AL94" s="11"/>
      <c r="AM94" s="12"/>
      <c r="AN94" s="13"/>
      <c r="AO94" s="12"/>
      <c r="AP94" s="12"/>
      <c r="AQ94" s="12"/>
      <c r="AR94" s="12"/>
      <c r="AS94" s="12"/>
      <c r="AT94" s="13"/>
      <c r="AU94" s="14"/>
      <c r="AV94" s="13"/>
      <c r="AW94" s="14"/>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A94" s="12"/>
      <c r="CB94" s="12"/>
      <c r="CC94" s="12"/>
      <c r="CD94" s="12"/>
      <c r="CE94" s="12"/>
      <c r="CF94" s="12"/>
      <c r="CG94" s="12"/>
      <c r="CH94" s="12"/>
      <c r="CI94" s="12"/>
      <c r="CJ94" s="12"/>
      <c r="CK94" s="12"/>
      <c r="CL94" s="12"/>
      <c r="CM94" s="12"/>
      <c r="CN94" s="12"/>
      <c r="CO94" s="12"/>
      <c r="CP94" s="12"/>
      <c r="CQ94" s="12"/>
      <c r="CR94" s="12"/>
      <c r="CS94" s="12"/>
      <c r="CT94" s="12"/>
      <c r="CU94" s="12"/>
      <c r="CV94" s="12"/>
      <c r="CW94" s="12"/>
      <c r="CX94" s="12"/>
      <c r="CY94" s="12"/>
      <c r="CZ94" s="12"/>
      <c r="DA94" s="12"/>
      <c r="DB94" s="12"/>
      <c r="DC94" s="12"/>
      <c r="DD94" s="12"/>
      <c r="DE94" s="12"/>
      <c r="DF94" s="12"/>
      <c r="DG94" s="12"/>
      <c r="DH94" s="12"/>
      <c r="DI94" s="12"/>
      <c r="DJ94" s="12"/>
      <c r="DK94" s="12"/>
      <c r="DL94" s="12"/>
      <c r="DM94" s="12"/>
      <c r="DN94" s="12"/>
      <c r="DO94" s="12"/>
      <c r="DP94" s="12"/>
      <c r="DQ94" s="12"/>
      <c r="DR94" s="12"/>
      <c r="DS94" s="12"/>
      <c r="DT94" s="12"/>
      <c r="DU94" s="12"/>
      <c r="DV94" s="12"/>
      <c r="DW94" s="12"/>
      <c r="DX94" s="12"/>
      <c r="DY94" s="12"/>
      <c r="DZ94" s="12"/>
      <c r="EA94" s="12"/>
      <c r="EB94" s="12"/>
      <c r="EC94" s="12"/>
      <c r="ED94" s="12"/>
      <c r="EE94" s="12"/>
      <c r="EF94" s="12"/>
      <c r="EG94" s="12"/>
      <c r="EH94" s="12"/>
      <c r="EI94" s="12"/>
      <c r="EJ94" s="12"/>
      <c r="EK94" s="12"/>
      <c r="EL94" s="12"/>
      <c r="EM94" s="12"/>
      <c r="EN94" s="12"/>
      <c r="EO94" s="12"/>
      <c r="EP94" s="12"/>
      <c r="EQ94" s="12"/>
      <c r="ER94" s="12"/>
      <c r="ES94" s="12"/>
      <c r="ET94" s="12"/>
      <c r="EU94" s="12"/>
      <c r="EV94" s="12"/>
      <c r="EW94" s="12"/>
      <c r="EX94" s="12"/>
      <c r="EY94" s="12"/>
      <c r="EZ94" s="12"/>
      <c r="FA94" s="12"/>
      <c r="FB94" s="12"/>
      <c r="FC94" s="12"/>
      <c r="FD94" s="12"/>
      <c r="FE94" s="12"/>
      <c r="FF94" s="12"/>
      <c r="FG94" s="12"/>
      <c r="FH94" s="12"/>
      <c r="FI94" s="12"/>
      <c r="FJ94" s="12"/>
      <c r="FK94" s="12"/>
      <c r="FL94" s="12"/>
      <c r="FM94" s="12"/>
      <c r="FN94" s="12"/>
      <c r="FO94" s="12"/>
      <c r="FP94" s="12"/>
      <c r="FQ94" s="12"/>
      <c r="FR94" s="13"/>
      <c r="FS94" s="15"/>
      <c r="FT94" s="290">
        <f>FT95</f>
        <v>0</v>
      </c>
    </row>
    <row r="95" spans="1:176" ht="78" outlineLevel="1">
      <c r="A95" s="309">
        <f ca="1">MAX($A$14:A94)+1</f>
        <v>79</v>
      </c>
      <c r="B95" s="294" t="s">
        <v>254</v>
      </c>
      <c r="C95" s="350" t="s">
        <v>253</v>
      </c>
      <c r="D95" s="309" t="s">
        <v>47</v>
      </c>
      <c r="E95" s="309"/>
      <c r="F95" s="309" t="s">
        <v>255</v>
      </c>
      <c r="G95" s="310" t="s">
        <v>256</v>
      </c>
      <c r="H95" s="311">
        <v>272240</v>
      </c>
      <c r="I95" s="311">
        <v>272240</v>
      </c>
      <c r="J95" s="308"/>
      <c r="K95" s="308"/>
      <c r="L95" s="308"/>
      <c r="M95" s="804"/>
      <c r="N95" s="804"/>
      <c r="O95" s="301"/>
      <c r="P95" s="299"/>
      <c r="Q95" s="299"/>
      <c r="R95" s="299"/>
      <c r="S95" s="313">
        <v>105040.887</v>
      </c>
      <c r="T95" s="301"/>
      <c r="U95" s="313">
        <v>105040.887</v>
      </c>
      <c r="V95" s="312">
        <f>'[4]Bảng TH các dự án GĐ 26-28'!$U$13</f>
        <v>167199.11300000001</v>
      </c>
      <c r="W95" s="311">
        <f>'[4]Bảng TH các dự án GĐ 26-28'!$U$13</f>
        <v>167199.11300000001</v>
      </c>
      <c r="X95" s="299">
        <v>167199.11300000001</v>
      </c>
      <c r="Y95" s="299">
        <v>95000</v>
      </c>
      <c r="Z95" s="293" t="s">
        <v>257</v>
      </c>
      <c r="AA95" s="805"/>
      <c r="AB95" s="10"/>
      <c r="AC95" s="10"/>
      <c r="AD95" s="10"/>
      <c r="AE95" s="10"/>
      <c r="AF95" s="10"/>
      <c r="AG95" s="10"/>
      <c r="AH95" s="11"/>
      <c r="AJ95" s="784"/>
      <c r="AL95" s="784"/>
      <c r="AN95" s="784"/>
      <c r="AT95" s="13"/>
      <c r="AU95" s="14"/>
      <c r="AV95" s="13"/>
      <c r="AW95" s="14"/>
      <c r="FR95" s="784"/>
      <c r="FS95" s="807"/>
    </row>
    <row r="96" spans="1:176" ht="33" customHeight="1">
      <c r="A96" s="288" t="s">
        <v>258</v>
      </c>
      <c r="B96" s="289" t="s">
        <v>259</v>
      </c>
      <c r="C96" s="290"/>
      <c r="D96" s="290"/>
      <c r="E96" s="290"/>
      <c r="F96" s="290"/>
      <c r="G96" s="290"/>
      <c r="H96" s="290">
        <f t="shared" ref="H96:Y96" si="15">SUM(H97:H97)</f>
        <v>274326</v>
      </c>
      <c r="I96" s="290">
        <f t="shared" si="15"/>
        <v>253740</v>
      </c>
      <c r="J96" s="290">
        <f t="shared" si="15"/>
        <v>0</v>
      </c>
      <c r="K96" s="290">
        <f t="shared" si="15"/>
        <v>0</v>
      </c>
      <c r="L96" s="290">
        <f t="shared" si="15"/>
        <v>0</v>
      </c>
      <c r="M96" s="290">
        <f t="shared" si="15"/>
        <v>0</v>
      </c>
      <c r="N96" s="290">
        <f t="shared" si="15"/>
        <v>0</v>
      </c>
      <c r="O96" s="290">
        <f t="shared" si="15"/>
        <v>0</v>
      </c>
      <c r="P96" s="290">
        <f t="shared" si="15"/>
        <v>0</v>
      </c>
      <c r="Q96" s="290">
        <f t="shared" si="15"/>
        <v>0</v>
      </c>
      <c r="R96" s="290">
        <f t="shared" si="15"/>
        <v>0</v>
      </c>
      <c r="S96" s="290">
        <f t="shared" si="15"/>
        <v>111134</v>
      </c>
      <c r="T96" s="290">
        <f t="shared" si="15"/>
        <v>0</v>
      </c>
      <c r="U96" s="290">
        <f t="shared" si="15"/>
        <v>111134</v>
      </c>
      <c r="V96" s="290">
        <f t="shared" si="15"/>
        <v>144005</v>
      </c>
      <c r="W96" s="290">
        <f t="shared" si="15"/>
        <v>144005</v>
      </c>
      <c r="X96" s="290">
        <f t="shared" si="15"/>
        <v>163192</v>
      </c>
      <c r="Y96" s="290">
        <f t="shared" si="15"/>
        <v>58000</v>
      </c>
      <c r="Z96" s="290"/>
      <c r="AA96" s="801"/>
      <c r="AB96" s="802" t="e">
        <f>#REF!/X96*100</f>
        <v>#REF!</v>
      </c>
      <c r="AC96" s="802"/>
      <c r="AD96" s="803"/>
      <c r="AE96" s="803"/>
      <c r="AF96" s="802"/>
      <c r="AG96" s="802"/>
      <c r="AH96" s="11"/>
      <c r="AI96" s="11"/>
      <c r="AJ96" s="11"/>
      <c r="AK96" s="11"/>
      <c r="AL96" s="11"/>
      <c r="AM96" s="12"/>
      <c r="AN96" s="13"/>
      <c r="AO96" s="12"/>
      <c r="AP96" s="12"/>
      <c r="AQ96" s="12"/>
      <c r="AR96" s="12"/>
      <c r="AS96" s="12"/>
      <c r="AT96" s="13"/>
      <c r="AU96" s="14"/>
      <c r="AV96" s="13"/>
      <c r="AW96" s="14"/>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A96" s="12"/>
      <c r="CB96" s="12"/>
      <c r="CC96" s="12"/>
      <c r="CD96" s="12"/>
      <c r="CE96" s="12"/>
      <c r="CF96" s="12"/>
      <c r="CG96" s="12"/>
      <c r="CH96" s="12"/>
      <c r="CI96" s="12"/>
      <c r="CJ96" s="12"/>
      <c r="CK96" s="12"/>
      <c r="CL96" s="12"/>
      <c r="CM96" s="12"/>
      <c r="CN96" s="12"/>
      <c r="CO96" s="12"/>
      <c r="CP96" s="12"/>
      <c r="CQ96" s="12"/>
      <c r="CR96" s="12"/>
      <c r="CS96" s="12"/>
      <c r="CT96" s="12"/>
      <c r="CU96" s="12"/>
      <c r="CV96" s="12"/>
      <c r="CW96" s="12"/>
      <c r="CX96" s="12"/>
      <c r="CY96" s="12"/>
      <c r="CZ96" s="12"/>
      <c r="DA96" s="12"/>
      <c r="DB96" s="12"/>
      <c r="DC96" s="12"/>
      <c r="DD96" s="12"/>
      <c r="DE96" s="12"/>
      <c r="DF96" s="12"/>
      <c r="DG96" s="12"/>
      <c r="DH96" s="12"/>
      <c r="DI96" s="12"/>
      <c r="DJ96" s="12"/>
      <c r="DK96" s="12"/>
      <c r="DL96" s="12"/>
      <c r="DM96" s="12"/>
      <c r="DN96" s="12"/>
      <c r="DO96" s="12"/>
      <c r="DP96" s="12"/>
      <c r="DQ96" s="12"/>
      <c r="DR96" s="12"/>
      <c r="DS96" s="12"/>
      <c r="DT96" s="12"/>
      <c r="DU96" s="12"/>
      <c r="DV96" s="12"/>
      <c r="DW96" s="12"/>
      <c r="DX96" s="12"/>
      <c r="DY96" s="12"/>
      <c r="DZ96" s="12"/>
      <c r="EA96" s="12"/>
      <c r="EB96" s="12"/>
      <c r="EC96" s="12"/>
      <c r="ED96" s="12"/>
      <c r="EE96" s="12"/>
      <c r="EF96" s="12"/>
      <c r="EG96" s="12"/>
      <c r="EH96" s="12"/>
      <c r="EI96" s="12"/>
      <c r="EJ96" s="12"/>
      <c r="EK96" s="12"/>
      <c r="EL96" s="12"/>
      <c r="EM96" s="12"/>
      <c r="EN96" s="12"/>
      <c r="EO96" s="12"/>
      <c r="EP96" s="12"/>
      <c r="EQ96" s="12"/>
      <c r="ER96" s="12"/>
      <c r="ES96" s="12"/>
      <c r="ET96" s="12"/>
      <c r="EU96" s="12"/>
      <c r="EV96" s="12"/>
      <c r="EW96" s="12"/>
      <c r="EX96" s="12"/>
      <c r="EY96" s="12"/>
      <c r="EZ96" s="12"/>
      <c r="FA96" s="12"/>
      <c r="FB96" s="12"/>
      <c r="FC96" s="12"/>
      <c r="FD96" s="12"/>
      <c r="FE96" s="12"/>
      <c r="FF96" s="12"/>
      <c r="FG96" s="12"/>
      <c r="FH96" s="12"/>
      <c r="FI96" s="12"/>
      <c r="FJ96" s="12"/>
      <c r="FK96" s="12"/>
      <c r="FL96" s="12"/>
      <c r="FM96" s="12"/>
      <c r="FN96" s="12"/>
      <c r="FO96" s="12"/>
      <c r="FP96" s="12"/>
      <c r="FQ96" s="12"/>
      <c r="FR96" s="13"/>
      <c r="FS96" s="15"/>
      <c r="FT96" s="290">
        <f>SUM(FT97:FT97)</f>
        <v>0</v>
      </c>
    </row>
    <row r="97" spans="1:178" ht="93.75" customHeight="1" outlineLevel="1">
      <c r="A97" s="309">
        <f ca="1">MAX($A$14:A96)+1</f>
        <v>80</v>
      </c>
      <c r="B97" s="294" t="s">
        <v>260</v>
      </c>
      <c r="C97" s="350" t="s">
        <v>259</v>
      </c>
      <c r="D97" s="309" t="s">
        <v>47</v>
      </c>
      <c r="E97" s="309"/>
      <c r="F97" s="309" t="s">
        <v>139</v>
      </c>
      <c r="G97" s="310" t="s">
        <v>261</v>
      </c>
      <c r="H97" s="311">
        <v>274326</v>
      </c>
      <c r="I97" s="311">
        <v>253740</v>
      </c>
      <c r="J97" s="308"/>
      <c r="K97" s="308"/>
      <c r="L97" s="308"/>
      <c r="M97" s="804"/>
      <c r="N97" s="804"/>
      <c r="O97" s="301"/>
      <c r="P97" s="299"/>
      <c r="Q97" s="299"/>
      <c r="R97" s="299"/>
      <c r="S97" s="313">
        <v>111134</v>
      </c>
      <c r="T97" s="301"/>
      <c r="U97" s="313">
        <v>111134</v>
      </c>
      <c r="V97" s="312">
        <v>144005</v>
      </c>
      <c r="W97" s="311">
        <v>144005</v>
      </c>
      <c r="X97" s="299">
        <v>163192</v>
      </c>
      <c r="Y97" s="299">
        <v>58000</v>
      </c>
      <c r="Z97" s="293"/>
      <c r="AA97" s="805"/>
      <c r="AB97" s="10"/>
      <c r="AC97" s="10"/>
      <c r="AD97" s="10"/>
      <c r="AE97" s="10"/>
      <c r="AF97" s="10"/>
      <c r="AG97" s="10"/>
      <c r="AH97" s="11"/>
      <c r="AJ97" s="784"/>
      <c r="AL97" s="784"/>
      <c r="AN97" s="784"/>
      <c r="AT97" s="13"/>
      <c r="AU97" s="14"/>
      <c r="AV97" s="13"/>
      <c r="AW97" s="14"/>
      <c r="FR97" s="784"/>
      <c r="FS97" s="807"/>
    </row>
    <row r="98" spans="1:178" ht="33.75" customHeight="1">
      <c r="A98" s="288" t="s">
        <v>262</v>
      </c>
      <c r="B98" s="289" t="s">
        <v>263</v>
      </c>
      <c r="C98" s="290"/>
      <c r="D98" s="290"/>
      <c r="E98" s="290"/>
      <c r="F98" s="290"/>
      <c r="G98" s="290"/>
      <c r="H98" s="290">
        <f t="shared" ref="H98:Y98" si="16">SUM(H99:H99)</f>
        <v>155000</v>
      </c>
      <c r="I98" s="290">
        <f t="shared" si="16"/>
        <v>55000</v>
      </c>
      <c r="J98" s="290">
        <f t="shared" si="16"/>
        <v>0</v>
      </c>
      <c r="K98" s="290">
        <f t="shared" si="16"/>
        <v>10000</v>
      </c>
      <c r="L98" s="290">
        <f t="shared" si="16"/>
        <v>110000</v>
      </c>
      <c r="M98" s="290">
        <f t="shared" si="16"/>
        <v>0</v>
      </c>
      <c r="N98" s="290">
        <f t="shared" si="16"/>
        <v>0</v>
      </c>
      <c r="O98" s="290">
        <f t="shared" si="16"/>
        <v>0</v>
      </c>
      <c r="P98" s="290">
        <f t="shared" si="16"/>
        <v>0</v>
      </c>
      <c r="Q98" s="290">
        <f t="shared" si="16"/>
        <v>0</v>
      </c>
      <c r="R98" s="290">
        <f t="shared" si="16"/>
        <v>0</v>
      </c>
      <c r="S98" s="290">
        <f t="shared" si="16"/>
        <v>110000</v>
      </c>
      <c r="T98" s="290">
        <f t="shared" si="16"/>
        <v>0</v>
      </c>
      <c r="U98" s="290">
        <f t="shared" si="16"/>
        <v>0</v>
      </c>
      <c r="V98" s="290">
        <f t="shared" si="16"/>
        <v>45000</v>
      </c>
      <c r="W98" s="290">
        <f t="shared" si="16"/>
        <v>45000</v>
      </c>
      <c r="X98" s="290">
        <f t="shared" si="16"/>
        <v>10000</v>
      </c>
      <c r="Y98" s="290">
        <f t="shared" si="16"/>
        <v>5000</v>
      </c>
      <c r="Z98" s="290"/>
      <c r="AA98" s="801"/>
      <c r="AB98" s="802" t="e">
        <f>#REF!/X98*100</f>
        <v>#REF!</v>
      </c>
      <c r="AC98" s="802"/>
      <c r="AD98" s="803"/>
      <c r="AE98" s="803"/>
      <c r="AF98" s="802"/>
      <c r="AG98" s="802"/>
      <c r="AH98" s="11"/>
      <c r="AI98" s="11"/>
      <c r="AJ98" s="11"/>
      <c r="AK98" s="11"/>
      <c r="AL98" s="11"/>
      <c r="AM98" s="12"/>
      <c r="AN98" s="13"/>
      <c r="AO98" s="12"/>
      <c r="AP98" s="12"/>
      <c r="AQ98" s="12"/>
      <c r="AR98" s="12"/>
      <c r="AS98" s="12"/>
      <c r="AT98" s="13"/>
      <c r="AU98" s="14"/>
      <c r="AV98" s="13"/>
      <c r="AW98" s="14"/>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c r="CG98" s="12"/>
      <c r="CH98" s="12"/>
      <c r="CI98" s="12"/>
      <c r="CJ98" s="12"/>
      <c r="CK98" s="12"/>
      <c r="CL98" s="12"/>
      <c r="CM98" s="12"/>
      <c r="CN98" s="12"/>
      <c r="CO98" s="12"/>
      <c r="CP98" s="12"/>
      <c r="CQ98" s="12"/>
      <c r="CR98" s="12"/>
      <c r="CS98" s="12"/>
      <c r="CT98" s="12"/>
      <c r="CU98" s="12"/>
      <c r="CV98" s="12"/>
      <c r="CW98" s="12"/>
      <c r="CX98" s="12"/>
      <c r="CY98" s="12"/>
      <c r="CZ98" s="12"/>
      <c r="DA98" s="12"/>
      <c r="DB98" s="12"/>
      <c r="DC98" s="12"/>
      <c r="DD98" s="12"/>
      <c r="DE98" s="12"/>
      <c r="DF98" s="12"/>
      <c r="DG98" s="12"/>
      <c r="DH98" s="12"/>
      <c r="DI98" s="12"/>
      <c r="DJ98" s="12"/>
      <c r="DK98" s="12"/>
      <c r="DL98" s="12"/>
      <c r="DM98" s="12"/>
      <c r="DN98" s="12"/>
      <c r="DO98" s="12"/>
      <c r="DP98" s="12"/>
      <c r="DQ98" s="12"/>
      <c r="DR98" s="12"/>
      <c r="DS98" s="12"/>
      <c r="DT98" s="12"/>
      <c r="DU98" s="12"/>
      <c r="DV98" s="12"/>
      <c r="DW98" s="12"/>
      <c r="DX98" s="12"/>
      <c r="DY98" s="12"/>
      <c r="DZ98" s="12"/>
      <c r="EA98" s="12"/>
      <c r="EB98" s="12"/>
      <c r="EC98" s="12"/>
      <c r="ED98" s="12"/>
      <c r="EE98" s="12"/>
      <c r="EF98" s="12"/>
      <c r="EG98" s="12"/>
      <c r="EH98" s="12"/>
      <c r="EI98" s="12"/>
      <c r="EJ98" s="12"/>
      <c r="EK98" s="12"/>
      <c r="EL98" s="12"/>
      <c r="EM98" s="12"/>
      <c r="EN98" s="12"/>
      <c r="EO98" s="12"/>
      <c r="EP98" s="12"/>
      <c r="EQ98" s="12"/>
      <c r="ER98" s="12"/>
      <c r="ES98" s="12"/>
      <c r="ET98" s="12"/>
      <c r="EU98" s="12"/>
      <c r="EV98" s="12"/>
      <c r="EW98" s="12"/>
      <c r="EX98" s="12"/>
      <c r="EY98" s="12"/>
      <c r="EZ98" s="12"/>
      <c r="FA98" s="12"/>
      <c r="FB98" s="12"/>
      <c r="FC98" s="12"/>
      <c r="FD98" s="12"/>
      <c r="FE98" s="12"/>
      <c r="FF98" s="12"/>
      <c r="FG98" s="12"/>
      <c r="FH98" s="12"/>
      <c r="FI98" s="12"/>
      <c r="FJ98" s="12"/>
      <c r="FK98" s="12"/>
      <c r="FL98" s="12"/>
      <c r="FM98" s="12"/>
      <c r="FN98" s="12"/>
      <c r="FO98" s="12"/>
      <c r="FP98" s="12"/>
      <c r="FQ98" s="12"/>
      <c r="FR98" s="13"/>
      <c r="FS98" s="15"/>
      <c r="FT98" s="290">
        <f>SUM(FT99:FT99)</f>
        <v>0</v>
      </c>
    </row>
    <row r="99" spans="1:178" ht="109.2" outlineLevel="1">
      <c r="A99" s="309">
        <f ca="1">MAX($A$14:A98)+1</f>
        <v>81</v>
      </c>
      <c r="B99" s="294" t="s">
        <v>264</v>
      </c>
      <c r="C99" s="350" t="s">
        <v>265</v>
      </c>
      <c r="D99" s="309" t="s">
        <v>47</v>
      </c>
      <c r="E99" s="309"/>
      <c r="F99" s="309" t="s">
        <v>139</v>
      </c>
      <c r="G99" s="310" t="s">
        <v>266</v>
      </c>
      <c r="H99" s="311">
        <v>155000</v>
      </c>
      <c r="I99" s="311">
        <v>55000</v>
      </c>
      <c r="J99" s="314"/>
      <c r="K99" s="314">
        <v>10000</v>
      </c>
      <c r="L99" s="313">
        <v>110000</v>
      </c>
      <c r="M99" s="804"/>
      <c r="N99" s="804"/>
      <c r="O99" s="301"/>
      <c r="P99" s="299"/>
      <c r="Q99" s="299"/>
      <c r="R99" s="299"/>
      <c r="S99" s="313">
        <v>110000</v>
      </c>
      <c r="T99" s="301"/>
      <c r="U99" s="313"/>
      <c r="V99" s="312">
        <v>45000</v>
      </c>
      <c r="W99" s="311">
        <v>45000</v>
      </c>
      <c r="X99" s="299">
        <v>10000</v>
      </c>
      <c r="Y99" s="299">
        <v>5000</v>
      </c>
      <c r="Z99" s="293"/>
      <c r="AA99" s="805"/>
      <c r="AB99" s="10"/>
      <c r="AC99" s="10"/>
      <c r="AD99" s="10"/>
      <c r="AE99" s="10"/>
      <c r="AF99" s="10"/>
      <c r="AG99" s="10"/>
      <c r="AH99" s="11"/>
      <c r="AJ99" s="784"/>
      <c r="AL99" s="784"/>
      <c r="AN99" s="784"/>
      <c r="AT99" s="13"/>
      <c r="AU99" s="14"/>
      <c r="AV99" s="13"/>
      <c r="AW99" s="14"/>
      <c r="FR99" s="784"/>
      <c r="FS99" s="807"/>
    </row>
    <row r="100" spans="1:178" ht="27.75" customHeight="1">
      <c r="A100" s="288" t="s">
        <v>1867</v>
      </c>
      <c r="B100" s="289" t="s">
        <v>267</v>
      </c>
      <c r="C100" s="290"/>
      <c r="D100" s="290"/>
      <c r="E100" s="290"/>
      <c r="F100" s="290"/>
      <c r="G100" s="290"/>
      <c r="H100" s="290">
        <f t="shared" ref="H100:Y100" si="17">H101+H102</f>
        <v>722000</v>
      </c>
      <c r="I100" s="290">
        <f t="shared" si="17"/>
        <v>534000</v>
      </c>
      <c r="J100" s="290">
        <f t="shared" si="17"/>
        <v>0</v>
      </c>
      <c r="K100" s="290">
        <f t="shared" si="17"/>
        <v>450</v>
      </c>
      <c r="L100" s="290">
        <f t="shared" si="17"/>
        <v>0</v>
      </c>
      <c r="M100" s="290">
        <f t="shared" si="17"/>
        <v>0</v>
      </c>
      <c r="N100" s="290">
        <f t="shared" si="17"/>
        <v>0</v>
      </c>
      <c r="O100" s="290">
        <f t="shared" si="17"/>
        <v>0</v>
      </c>
      <c r="P100" s="290">
        <f t="shared" si="17"/>
        <v>0</v>
      </c>
      <c r="Q100" s="290">
        <f t="shared" si="17"/>
        <v>0</v>
      </c>
      <c r="R100" s="290">
        <f t="shared" si="17"/>
        <v>0</v>
      </c>
      <c r="S100" s="290">
        <f t="shared" si="17"/>
        <v>648000</v>
      </c>
      <c r="T100" s="290">
        <f t="shared" si="17"/>
        <v>188000</v>
      </c>
      <c r="U100" s="290">
        <f t="shared" si="17"/>
        <v>460000</v>
      </c>
      <c r="V100" s="290">
        <f t="shared" si="17"/>
        <v>73550</v>
      </c>
      <c r="W100" s="290">
        <f t="shared" si="17"/>
        <v>73550</v>
      </c>
      <c r="X100" s="290">
        <f t="shared" si="17"/>
        <v>73550</v>
      </c>
      <c r="Y100" s="290">
        <f t="shared" si="17"/>
        <v>29850</v>
      </c>
      <c r="Z100" s="290"/>
      <c r="AA100" s="801"/>
      <c r="AB100" s="802" t="e">
        <f>#REF!/X100*100</f>
        <v>#REF!</v>
      </c>
      <c r="AC100" s="802"/>
      <c r="AD100" s="803"/>
      <c r="AE100" s="803"/>
      <c r="AF100" s="802"/>
      <c r="AG100" s="802"/>
      <c r="AH100" s="11"/>
      <c r="AI100" s="11"/>
      <c r="AJ100" s="11"/>
      <c r="AK100" s="11"/>
      <c r="AL100" s="11"/>
      <c r="AM100" s="12"/>
      <c r="AN100" s="13"/>
      <c r="AO100" s="12"/>
      <c r="AP100" s="12"/>
      <c r="AQ100" s="12"/>
      <c r="AR100" s="12"/>
      <c r="AS100" s="12"/>
      <c r="AT100" s="13"/>
      <c r="AU100" s="14"/>
      <c r="AV100" s="13"/>
      <c r="AW100" s="14"/>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c r="CZ100" s="12"/>
      <c r="DA100" s="12"/>
      <c r="DB100" s="12"/>
      <c r="DC100" s="12"/>
      <c r="DD100" s="12"/>
      <c r="DE100" s="12"/>
      <c r="DF100" s="12"/>
      <c r="DG100" s="12"/>
      <c r="DH100" s="12"/>
      <c r="DI100" s="12"/>
      <c r="DJ100" s="12"/>
      <c r="DK100" s="12"/>
      <c r="DL100" s="12"/>
      <c r="DM100" s="12"/>
      <c r="DN100" s="12"/>
      <c r="DO100" s="12"/>
      <c r="DP100" s="12"/>
      <c r="DQ100" s="12"/>
      <c r="DR100" s="12"/>
      <c r="DS100" s="12"/>
      <c r="DT100" s="12"/>
      <c r="DU100" s="12"/>
      <c r="DV100" s="12"/>
      <c r="DW100" s="12"/>
      <c r="DX100" s="12"/>
      <c r="DY100" s="12"/>
      <c r="DZ100" s="12"/>
      <c r="EA100" s="12"/>
      <c r="EB100" s="12"/>
      <c r="EC100" s="12"/>
      <c r="ED100" s="12"/>
      <c r="EE100" s="12"/>
      <c r="EF100" s="12"/>
      <c r="EG100" s="12"/>
      <c r="EH100" s="12"/>
      <c r="EI100" s="12"/>
      <c r="EJ100" s="12"/>
      <c r="EK100" s="12"/>
      <c r="EL100" s="12"/>
      <c r="EM100" s="12"/>
      <c r="EN100" s="12"/>
      <c r="EO100" s="12"/>
      <c r="EP100" s="12"/>
      <c r="EQ100" s="12"/>
      <c r="ER100" s="12"/>
      <c r="ES100" s="12"/>
      <c r="ET100" s="12"/>
      <c r="EU100" s="12"/>
      <c r="EV100" s="12"/>
      <c r="EW100" s="12"/>
      <c r="EX100" s="12"/>
      <c r="EY100" s="12"/>
      <c r="EZ100" s="12"/>
      <c r="FA100" s="12"/>
      <c r="FB100" s="12"/>
      <c r="FC100" s="12"/>
      <c r="FD100" s="12"/>
      <c r="FE100" s="12"/>
      <c r="FF100" s="12"/>
      <c r="FG100" s="12"/>
      <c r="FH100" s="12"/>
      <c r="FI100" s="12"/>
      <c r="FJ100" s="12"/>
      <c r="FK100" s="12"/>
      <c r="FL100" s="12"/>
      <c r="FM100" s="12"/>
      <c r="FN100" s="12"/>
      <c r="FO100" s="12"/>
      <c r="FP100" s="12"/>
      <c r="FQ100" s="12"/>
      <c r="FR100" s="13"/>
      <c r="FS100" s="15"/>
      <c r="FT100" s="290">
        <f>FT101+FT102</f>
        <v>0</v>
      </c>
    </row>
    <row r="101" spans="1:178" ht="31.2" outlineLevel="1">
      <c r="A101" s="292">
        <f ca="1">MAX(A$14:$B100)+1</f>
        <v>82</v>
      </c>
      <c r="B101" s="291" t="s">
        <v>268</v>
      </c>
      <c r="C101" s="293" t="s">
        <v>267</v>
      </c>
      <c r="D101" s="293" t="s">
        <v>47</v>
      </c>
      <c r="E101" s="293"/>
      <c r="F101" s="293" t="s">
        <v>51</v>
      </c>
      <c r="G101" s="293" t="s">
        <v>269</v>
      </c>
      <c r="H101" s="303">
        <v>288000</v>
      </c>
      <c r="I101" s="303">
        <v>100000</v>
      </c>
      <c r="J101" s="302"/>
      <c r="K101" s="299">
        <v>150</v>
      </c>
      <c r="L101" s="302"/>
      <c r="M101" s="804"/>
      <c r="N101" s="804"/>
      <c r="O101" s="301"/>
      <c r="P101" s="302"/>
      <c r="Q101" s="302"/>
      <c r="R101" s="302"/>
      <c r="S101" s="301">
        <f>T101+U101</f>
        <v>268000</v>
      </c>
      <c r="T101" s="301">
        <v>188000</v>
      </c>
      <c r="U101" s="301">
        <v>80000</v>
      </c>
      <c r="V101" s="299">
        <f>I101-J101-K101-U101</f>
        <v>19850</v>
      </c>
      <c r="W101" s="299">
        <v>19850</v>
      </c>
      <c r="X101" s="299">
        <v>19850</v>
      </c>
      <c r="Y101" s="299">
        <v>19850</v>
      </c>
      <c r="Z101" s="316"/>
      <c r="AA101" s="805"/>
      <c r="AB101" s="10"/>
      <c r="AC101" s="10"/>
      <c r="AD101" s="10"/>
      <c r="AE101" s="10"/>
      <c r="AF101" s="10"/>
      <c r="AG101" s="10"/>
      <c r="AH101" s="11"/>
      <c r="AI101" s="781"/>
      <c r="AJ101" s="784"/>
      <c r="AL101" s="784"/>
      <c r="AN101" s="784"/>
      <c r="AT101" s="13"/>
      <c r="AU101" s="14"/>
      <c r="AV101" s="13"/>
      <c r="AW101" s="14"/>
      <c r="FR101" s="784"/>
      <c r="FS101" s="807"/>
    </row>
    <row r="102" spans="1:178" ht="31.2" outlineLevel="1">
      <c r="A102" s="292">
        <f ca="1">MAX(A$14:$B101)+1</f>
        <v>83</v>
      </c>
      <c r="B102" s="291" t="s">
        <v>270</v>
      </c>
      <c r="C102" s="293" t="s">
        <v>267</v>
      </c>
      <c r="D102" s="293" t="s">
        <v>47</v>
      </c>
      <c r="E102" s="293"/>
      <c r="F102" s="293" t="s">
        <v>139</v>
      </c>
      <c r="G102" s="293" t="s">
        <v>271</v>
      </c>
      <c r="H102" s="303">
        <v>434000</v>
      </c>
      <c r="I102" s="303">
        <v>434000</v>
      </c>
      <c r="J102" s="302"/>
      <c r="K102" s="299">
        <v>300</v>
      </c>
      <c r="L102" s="302"/>
      <c r="M102" s="804"/>
      <c r="N102" s="804"/>
      <c r="O102" s="301"/>
      <c r="P102" s="302"/>
      <c r="Q102" s="302"/>
      <c r="R102" s="302"/>
      <c r="S102" s="301">
        <f>T102+U102</f>
        <v>380000</v>
      </c>
      <c r="T102" s="301"/>
      <c r="U102" s="301">
        <v>380000</v>
      </c>
      <c r="V102" s="299">
        <f>I102-J102-K102-U102</f>
        <v>53700</v>
      </c>
      <c r="W102" s="299">
        <v>53700</v>
      </c>
      <c r="X102" s="299">
        <v>53700</v>
      </c>
      <c r="Y102" s="299">
        <v>10000</v>
      </c>
      <c r="Z102" s="316"/>
      <c r="AA102" s="805"/>
      <c r="AB102" s="10"/>
      <c r="AC102" s="10"/>
      <c r="AD102" s="10"/>
      <c r="AE102" s="10"/>
      <c r="AF102" s="10"/>
      <c r="AG102" s="10"/>
      <c r="AH102" s="11"/>
      <c r="AI102" s="781"/>
      <c r="AJ102" s="784"/>
      <c r="AL102" s="784">
        <f>P102-AI102</f>
        <v>0</v>
      </c>
      <c r="AN102" s="784"/>
      <c r="AT102" s="13"/>
      <c r="AU102" s="14"/>
      <c r="AV102" s="13"/>
      <c r="AW102" s="14"/>
      <c r="FR102" s="784"/>
      <c r="FS102" s="807"/>
    </row>
    <row r="103" spans="1:178" ht="30.75" customHeight="1">
      <c r="A103" s="288" t="s">
        <v>378</v>
      </c>
      <c r="B103" s="289" t="s">
        <v>272</v>
      </c>
      <c r="C103" s="290"/>
      <c r="D103" s="290"/>
      <c r="E103" s="290"/>
      <c r="F103" s="290"/>
      <c r="G103" s="290"/>
      <c r="H103" s="290">
        <f t="shared" ref="H103:Y103" si="18">SUM(H104:H106)</f>
        <v>195000</v>
      </c>
      <c r="I103" s="290">
        <f t="shared" si="18"/>
        <v>195000</v>
      </c>
      <c r="J103" s="290">
        <f t="shared" si="18"/>
        <v>0</v>
      </c>
      <c r="K103" s="290">
        <f t="shared" si="18"/>
        <v>400</v>
      </c>
      <c r="L103" s="290">
        <f t="shared" si="18"/>
        <v>0</v>
      </c>
      <c r="M103" s="290">
        <f t="shared" si="18"/>
        <v>40000</v>
      </c>
      <c r="N103" s="290">
        <f t="shared" si="18"/>
        <v>0</v>
      </c>
      <c r="O103" s="290">
        <f t="shared" si="18"/>
        <v>40000</v>
      </c>
      <c r="P103" s="290">
        <f t="shared" si="18"/>
        <v>40000</v>
      </c>
      <c r="Q103" s="290">
        <f t="shared" si="18"/>
        <v>0</v>
      </c>
      <c r="R103" s="290">
        <f t="shared" si="18"/>
        <v>0</v>
      </c>
      <c r="S103" s="290">
        <f t="shared" si="18"/>
        <v>84876</v>
      </c>
      <c r="T103" s="290">
        <f t="shared" si="18"/>
        <v>0</v>
      </c>
      <c r="U103" s="290">
        <f t="shared" si="18"/>
        <v>84876</v>
      </c>
      <c r="V103" s="290">
        <f t="shared" si="18"/>
        <v>109724</v>
      </c>
      <c r="W103" s="290">
        <f t="shared" si="18"/>
        <v>96874</v>
      </c>
      <c r="X103" s="290">
        <f t="shared" si="18"/>
        <v>60000</v>
      </c>
      <c r="Y103" s="290">
        <f t="shared" si="18"/>
        <v>33000</v>
      </c>
      <c r="Z103" s="290"/>
      <c r="AA103" s="801"/>
      <c r="AB103" s="802" t="e">
        <f>#REF!/X103*100</f>
        <v>#REF!</v>
      </c>
      <c r="AC103" s="802"/>
      <c r="AD103" s="803"/>
      <c r="AE103" s="803"/>
      <c r="AF103" s="802"/>
      <c r="AG103" s="802"/>
      <c r="AH103" s="11"/>
      <c r="AI103" s="11"/>
      <c r="AJ103" s="11"/>
      <c r="AK103" s="11"/>
      <c r="AL103" s="11"/>
      <c r="AM103" s="12"/>
      <c r="AN103" s="13"/>
      <c r="AO103" s="12"/>
      <c r="AP103" s="12"/>
      <c r="AQ103" s="12"/>
      <c r="AR103" s="12"/>
      <c r="AS103" s="12"/>
      <c r="AT103" s="13"/>
      <c r="AU103" s="14"/>
      <c r="AV103" s="13"/>
      <c r="AW103" s="14"/>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2"/>
      <c r="BY103" s="12"/>
      <c r="BZ103" s="12"/>
      <c r="CA103" s="12"/>
      <c r="CB103" s="12"/>
      <c r="CC103" s="12"/>
      <c r="CD103" s="12"/>
      <c r="CE103" s="12"/>
      <c r="CF103" s="12"/>
      <c r="CG103" s="12"/>
      <c r="CH103" s="12"/>
      <c r="CI103" s="12"/>
      <c r="CJ103" s="12"/>
      <c r="CK103" s="12"/>
      <c r="CL103" s="12"/>
      <c r="CM103" s="12"/>
      <c r="CN103" s="12"/>
      <c r="CO103" s="12"/>
      <c r="CP103" s="12"/>
      <c r="CQ103" s="12"/>
      <c r="CR103" s="12"/>
      <c r="CS103" s="12"/>
      <c r="CT103" s="12"/>
      <c r="CU103" s="12"/>
      <c r="CV103" s="12"/>
      <c r="CW103" s="12"/>
      <c r="CX103" s="12"/>
      <c r="CY103" s="12"/>
      <c r="CZ103" s="12"/>
      <c r="DA103" s="12"/>
      <c r="DB103" s="12"/>
      <c r="DC103" s="12"/>
      <c r="DD103" s="12"/>
      <c r="DE103" s="12"/>
      <c r="DF103" s="12"/>
      <c r="DG103" s="12"/>
      <c r="DH103" s="12"/>
      <c r="DI103" s="12"/>
      <c r="DJ103" s="12"/>
      <c r="DK103" s="12"/>
      <c r="DL103" s="12"/>
      <c r="DM103" s="12"/>
      <c r="DN103" s="12"/>
      <c r="DO103" s="12"/>
      <c r="DP103" s="12"/>
      <c r="DQ103" s="12"/>
      <c r="DR103" s="12"/>
      <c r="DS103" s="12"/>
      <c r="DT103" s="12"/>
      <c r="DU103" s="12"/>
      <c r="DV103" s="12"/>
      <c r="DW103" s="12"/>
      <c r="DX103" s="12"/>
      <c r="DY103" s="12"/>
      <c r="DZ103" s="12"/>
      <c r="EA103" s="12"/>
      <c r="EB103" s="12"/>
      <c r="EC103" s="12"/>
      <c r="ED103" s="12"/>
      <c r="EE103" s="12"/>
      <c r="EF103" s="12"/>
      <c r="EG103" s="12"/>
      <c r="EH103" s="12"/>
      <c r="EI103" s="12"/>
      <c r="EJ103" s="12"/>
      <c r="EK103" s="12"/>
      <c r="EL103" s="12"/>
      <c r="EM103" s="12"/>
      <c r="EN103" s="12"/>
      <c r="EO103" s="12"/>
      <c r="EP103" s="12"/>
      <c r="EQ103" s="12"/>
      <c r="ER103" s="12"/>
      <c r="ES103" s="12"/>
      <c r="ET103" s="12"/>
      <c r="EU103" s="12"/>
      <c r="EV103" s="12"/>
      <c r="EW103" s="12"/>
      <c r="EX103" s="12"/>
      <c r="EY103" s="12"/>
      <c r="EZ103" s="12"/>
      <c r="FA103" s="12"/>
      <c r="FB103" s="12"/>
      <c r="FC103" s="12"/>
      <c r="FD103" s="12"/>
      <c r="FE103" s="12"/>
      <c r="FF103" s="12"/>
      <c r="FG103" s="12"/>
      <c r="FH103" s="12"/>
      <c r="FI103" s="12"/>
      <c r="FJ103" s="12"/>
      <c r="FK103" s="12"/>
      <c r="FL103" s="12"/>
      <c r="FM103" s="12"/>
      <c r="FN103" s="12"/>
      <c r="FO103" s="12"/>
      <c r="FP103" s="12"/>
      <c r="FQ103" s="12"/>
      <c r="FR103" s="13"/>
      <c r="FS103" s="15"/>
      <c r="FT103" s="290">
        <f>SUM(FT104:FT106)</f>
        <v>0</v>
      </c>
    </row>
    <row r="104" spans="1:178" ht="46.8" outlineLevel="1">
      <c r="A104" s="28">
        <f ca="1">MAX(A$15:$A103)+1</f>
        <v>84</v>
      </c>
      <c r="B104" s="291" t="s">
        <v>273</v>
      </c>
      <c r="C104" s="293" t="s">
        <v>272</v>
      </c>
      <c r="D104" s="293" t="s">
        <v>47</v>
      </c>
      <c r="E104" s="293"/>
      <c r="F104" s="293" t="s">
        <v>91</v>
      </c>
      <c r="G104" s="293" t="s">
        <v>274</v>
      </c>
      <c r="H104" s="303">
        <v>95000</v>
      </c>
      <c r="I104" s="302">
        <v>95000</v>
      </c>
      <c r="J104" s="302"/>
      <c r="K104" s="299">
        <v>50</v>
      </c>
      <c r="L104" s="302"/>
      <c r="M104" s="804">
        <f>N104+O104</f>
        <v>40000</v>
      </c>
      <c r="N104" s="804"/>
      <c r="O104" s="301">
        <f>P104+R104+Q104</f>
        <v>40000</v>
      </c>
      <c r="P104" s="302">
        <f>'[3]PL7- Khoi cong moi 21-25(IN)'!AK114</f>
        <v>40000</v>
      </c>
      <c r="Q104" s="302">
        <f>'[3]PL7- Khoi cong moi 21-25(IN)'!AL114</f>
        <v>0</v>
      </c>
      <c r="R104" s="302">
        <f>'[3]PL7- Khoi cong moi 21-25(IN)'!AM114</f>
        <v>0</v>
      </c>
      <c r="S104" s="301">
        <f>T104+U104</f>
        <v>40050</v>
      </c>
      <c r="T104" s="301"/>
      <c r="U104" s="301">
        <v>40050</v>
      </c>
      <c r="V104" s="299">
        <f>I104-J104-K104-U104</f>
        <v>54900</v>
      </c>
      <c r="W104" s="299">
        <v>42000</v>
      </c>
      <c r="X104" s="299">
        <v>42000</v>
      </c>
      <c r="Y104" s="299">
        <v>21000</v>
      </c>
      <c r="Z104" s="316"/>
      <c r="AA104" s="805"/>
      <c r="AB104" s="10"/>
      <c r="AC104" s="10"/>
      <c r="AD104" s="10"/>
      <c r="AE104" s="10"/>
      <c r="AF104" s="10"/>
      <c r="AG104" s="10"/>
      <c r="AH104" s="11"/>
      <c r="AI104" s="781"/>
      <c r="AJ104" s="784"/>
      <c r="AL104" s="784">
        <f>P104-AI104</f>
        <v>40000</v>
      </c>
      <c r="AN104" s="784"/>
      <c r="AT104" s="13"/>
      <c r="AU104" s="14"/>
      <c r="AV104" s="13"/>
      <c r="AW104" s="14"/>
      <c r="FR104" s="784"/>
      <c r="FS104" s="807"/>
    </row>
    <row r="105" spans="1:178" ht="31.2" outlineLevel="1">
      <c r="A105" s="28">
        <f ca="1">MAX(A$15:$A104)+1</f>
        <v>85</v>
      </c>
      <c r="B105" s="291" t="s">
        <v>275</v>
      </c>
      <c r="C105" s="293" t="s">
        <v>272</v>
      </c>
      <c r="D105" s="293" t="s">
        <v>84</v>
      </c>
      <c r="E105" s="293"/>
      <c r="F105" s="293" t="s">
        <v>276</v>
      </c>
      <c r="G105" s="293" t="s">
        <v>277</v>
      </c>
      <c r="H105" s="303">
        <v>40000</v>
      </c>
      <c r="I105" s="302">
        <v>40000</v>
      </c>
      <c r="J105" s="302"/>
      <c r="K105" s="299">
        <v>300</v>
      </c>
      <c r="L105" s="302"/>
      <c r="M105" s="804"/>
      <c r="N105" s="804"/>
      <c r="O105" s="301"/>
      <c r="P105" s="302"/>
      <c r="Q105" s="302"/>
      <c r="R105" s="302"/>
      <c r="S105" s="301">
        <f>T105+U105</f>
        <v>24776</v>
      </c>
      <c r="T105" s="301"/>
      <c r="U105" s="301">
        <v>24776</v>
      </c>
      <c r="V105" s="299">
        <f>I105-J105-K105-U105</f>
        <v>14924</v>
      </c>
      <c r="W105" s="299">
        <v>14924</v>
      </c>
      <c r="X105" s="299">
        <v>8000</v>
      </c>
      <c r="Y105" s="299">
        <v>4000</v>
      </c>
      <c r="Z105" s="316"/>
      <c r="AA105" s="805"/>
      <c r="AB105" s="10"/>
      <c r="AC105" s="10"/>
      <c r="AD105" s="10"/>
      <c r="AE105" s="10"/>
      <c r="AF105" s="10"/>
      <c r="AG105" s="10"/>
      <c r="AH105" s="11"/>
      <c r="AI105" s="781"/>
      <c r="AJ105" s="784"/>
      <c r="AL105" s="784"/>
      <c r="AN105" s="784"/>
      <c r="AT105" s="13"/>
      <c r="AU105" s="14"/>
      <c r="AV105" s="13"/>
      <c r="AW105" s="14"/>
      <c r="FR105" s="784"/>
      <c r="FS105" s="807"/>
    </row>
    <row r="106" spans="1:178" ht="31.2" outlineLevel="1">
      <c r="A106" s="28">
        <f ca="1">MAX(A$15:$A105)+1</f>
        <v>86</v>
      </c>
      <c r="B106" s="291" t="s">
        <v>278</v>
      </c>
      <c r="C106" s="293" t="s">
        <v>272</v>
      </c>
      <c r="D106" s="293" t="s">
        <v>47</v>
      </c>
      <c r="E106" s="293"/>
      <c r="F106" s="293" t="s">
        <v>54</v>
      </c>
      <c r="G106" s="293" t="s">
        <v>279</v>
      </c>
      <c r="H106" s="303">
        <v>60000</v>
      </c>
      <c r="I106" s="302">
        <v>60000</v>
      </c>
      <c r="J106" s="302"/>
      <c r="K106" s="299">
        <v>50</v>
      </c>
      <c r="L106" s="302"/>
      <c r="M106" s="804"/>
      <c r="N106" s="804"/>
      <c r="O106" s="301"/>
      <c r="P106" s="302"/>
      <c r="Q106" s="302"/>
      <c r="R106" s="302"/>
      <c r="S106" s="301">
        <f>T106+U106</f>
        <v>20050</v>
      </c>
      <c r="T106" s="301"/>
      <c r="U106" s="301">
        <v>20050</v>
      </c>
      <c r="V106" s="299">
        <f>I106-J106-K106-U106</f>
        <v>39900</v>
      </c>
      <c r="W106" s="299">
        <v>39950</v>
      </c>
      <c r="X106" s="299">
        <v>10000</v>
      </c>
      <c r="Y106" s="299">
        <v>8000</v>
      </c>
      <c r="Z106" s="316"/>
      <c r="AA106" s="805"/>
      <c r="AB106" s="10"/>
      <c r="AC106" s="10"/>
      <c r="AD106" s="10"/>
      <c r="AE106" s="10"/>
      <c r="AF106" s="10"/>
      <c r="AG106" s="10"/>
      <c r="AH106" s="11"/>
      <c r="AI106" s="781"/>
      <c r="AJ106" s="784"/>
      <c r="AL106" s="784"/>
      <c r="AN106" s="784"/>
      <c r="AT106" s="13"/>
      <c r="AU106" s="14"/>
      <c r="AV106" s="13"/>
      <c r="AW106" s="14"/>
      <c r="FR106" s="784"/>
      <c r="FS106" s="807"/>
    </row>
    <row r="107" spans="1:178" ht="38.25" customHeight="1">
      <c r="A107" s="288" t="s">
        <v>379</v>
      </c>
      <c r="B107" s="289" t="s">
        <v>280</v>
      </c>
      <c r="C107" s="290"/>
      <c r="D107" s="290"/>
      <c r="E107" s="290"/>
      <c r="F107" s="290"/>
      <c r="G107" s="290"/>
      <c r="H107" s="290">
        <f t="shared" ref="H107:Y107" si="19">SUM(H108:H110)</f>
        <v>134450</v>
      </c>
      <c r="I107" s="290">
        <f t="shared" si="19"/>
        <v>134450</v>
      </c>
      <c r="J107" s="290">
        <f t="shared" si="19"/>
        <v>0</v>
      </c>
      <c r="K107" s="290">
        <f t="shared" si="19"/>
        <v>1250</v>
      </c>
      <c r="L107" s="290">
        <f t="shared" si="19"/>
        <v>0</v>
      </c>
      <c r="M107" s="290">
        <f t="shared" si="19"/>
        <v>15000</v>
      </c>
      <c r="N107" s="290">
        <f t="shared" si="19"/>
        <v>0</v>
      </c>
      <c r="O107" s="290">
        <f t="shared" si="19"/>
        <v>15000</v>
      </c>
      <c r="P107" s="290">
        <f t="shared" si="19"/>
        <v>8000</v>
      </c>
      <c r="Q107" s="290">
        <f t="shared" si="19"/>
        <v>0</v>
      </c>
      <c r="R107" s="290">
        <f t="shared" si="19"/>
        <v>7000</v>
      </c>
      <c r="S107" s="290">
        <f t="shared" si="19"/>
        <v>24000</v>
      </c>
      <c r="T107" s="290">
        <f t="shared" si="19"/>
        <v>0</v>
      </c>
      <c r="U107" s="290">
        <f t="shared" si="19"/>
        <v>24000</v>
      </c>
      <c r="V107" s="290">
        <f t="shared" si="19"/>
        <v>109200</v>
      </c>
      <c r="W107" s="290">
        <f t="shared" si="19"/>
        <v>102200</v>
      </c>
      <c r="X107" s="290">
        <f t="shared" si="19"/>
        <v>38450</v>
      </c>
      <c r="Y107" s="290">
        <f t="shared" si="19"/>
        <v>20717.407499999739</v>
      </c>
      <c r="Z107" s="290"/>
      <c r="AA107" s="801"/>
      <c r="AB107" s="802"/>
      <c r="AC107" s="802"/>
      <c r="AD107" s="803"/>
      <c r="AE107" s="803"/>
      <c r="AF107" s="802"/>
      <c r="AG107" s="802"/>
      <c r="AH107" s="11"/>
      <c r="AI107" s="11"/>
      <c r="AJ107" s="11"/>
      <c r="AK107" s="11"/>
      <c r="AL107" s="11"/>
      <c r="AM107" s="12"/>
      <c r="AN107" s="13"/>
      <c r="AO107" s="12"/>
      <c r="AP107" s="12"/>
      <c r="AQ107" s="12"/>
      <c r="AR107" s="12"/>
      <c r="AS107" s="12"/>
      <c r="AT107" s="13"/>
      <c r="AU107" s="14"/>
      <c r="AV107" s="13"/>
      <c r="AW107" s="14"/>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c r="CG107" s="12"/>
      <c r="CH107" s="12"/>
      <c r="CI107" s="12"/>
      <c r="CJ107" s="12"/>
      <c r="CK107" s="12"/>
      <c r="CL107" s="12"/>
      <c r="CM107" s="12"/>
      <c r="CN107" s="12"/>
      <c r="CO107" s="12"/>
      <c r="CP107" s="12"/>
      <c r="CQ107" s="12"/>
      <c r="CR107" s="12"/>
      <c r="CS107" s="12"/>
      <c r="CT107" s="12"/>
      <c r="CU107" s="12"/>
      <c r="CV107" s="12"/>
      <c r="CW107" s="12"/>
      <c r="CX107" s="12"/>
      <c r="CY107" s="12"/>
      <c r="CZ107" s="12"/>
      <c r="DA107" s="12"/>
      <c r="DB107" s="12"/>
      <c r="DC107" s="12"/>
      <c r="DD107" s="12"/>
      <c r="DE107" s="12"/>
      <c r="DF107" s="12"/>
      <c r="DG107" s="12"/>
      <c r="DH107" s="12"/>
      <c r="DI107" s="12"/>
      <c r="DJ107" s="12"/>
      <c r="DK107" s="12"/>
      <c r="DL107" s="12"/>
      <c r="DM107" s="12"/>
      <c r="DN107" s="12"/>
      <c r="DO107" s="12"/>
      <c r="DP107" s="12"/>
      <c r="DQ107" s="12"/>
      <c r="DR107" s="12"/>
      <c r="DS107" s="12"/>
      <c r="DT107" s="12"/>
      <c r="DU107" s="12"/>
      <c r="DV107" s="12"/>
      <c r="DW107" s="12"/>
      <c r="DX107" s="12"/>
      <c r="DY107" s="12"/>
      <c r="DZ107" s="12"/>
      <c r="EA107" s="12"/>
      <c r="EB107" s="12"/>
      <c r="EC107" s="12"/>
      <c r="ED107" s="12"/>
      <c r="EE107" s="12"/>
      <c r="EF107" s="12"/>
      <c r="EG107" s="12"/>
      <c r="EH107" s="12"/>
      <c r="EI107" s="12"/>
      <c r="EJ107" s="12"/>
      <c r="EK107" s="12"/>
      <c r="EL107" s="12"/>
      <c r="EM107" s="12"/>
      <c r="EN107" s="12"/>
      <c r="EO107" s="12"/>
      <c r="EP107" s="12"/>
      <c r="EQ107" s="12"/>
      <c r="ER107" s="12"/>
      <c r="ES107" s="12"/>
      <c r="ET107" s="12"/>
      <c r="EU107" s="12"/>
      <c r="EV107" s="12"/>
      <c r="EW107" s="12"/>
      <c r="EX107" s="12"/>
      <c r="EY107" s="12"/>
      <c r="EZ107" s="12"/>
      <c r="FA107" s="12"/>
      <c r="FB107" s="12"/>
      <c r="FC107" s="12"/>
      <c r="FD107" s="12"/>
      <c r="FE107" s="12"/>
      <c r="FF107" s="12"/>
      <c r="FG107" s="12"/>
      <c r="FH107" s="12"/>
      <c r="FI107" s="12"/>
      <c r="FJ107" s="12"/>
      <c r="FK107" s="12"/>
      <c r="FL107" s="12"/>
      <c r="FM107" s="12"/>
      <c r="FN107" s="12"/>
      <c r="FO107" s="12"/>
      <c r="FP107" s="12"/>
      <c r="FQ107" s="12"/>
      <c r="FR107" s="13"/>
      <c r="FS107" s="15"/>
      <c r="FT107" s="290">
        <f>SUM(FT108:FT110)</f>
        <v>0</v>
      </c>
    </row>
    <row r="108" spans="1:178" ht="31.2" outlineLevel="1">
      <c r="A108" s="28">
        <f ca="1">MAX(A$15:$A107)+1</f>
        <v>87</v>
      </c>
      <c r="B108" s="291" t="s">
        <v>281</v>
      </c>
      <c r="C108" s="293" t="s">
        <v>280</v>
      </c>
      <c r="D108" s="293" t="s">
        <v>84</v>
      </c>
      <c r="E108" s="293"/>
      <c r="F108" s="293" t="s">
        <v>92</v>
      </c>
      <c r="G108" s="293" t="s">
        <v>282</v>
      </c>
      <c r="H108" s="299">
        <v>14950</v>
      </c>
      <c r="I108" s="300">
        <v>14950</v>
      </c>
      <c r="J108" s="300"/>
      <c r="K108" s="300">
        <v>200</v>
      </c>
      <c r="L108" s="300"/>
      <c r="M108" s="804">
        <f>N108+O108</f>
        <v>7000</v>
      </c>
      <c r="N108" s="804"/>
      <c r="O108" s="301">
        <f>P108+R108+Q108</f>
        <v>7000</v>
      </c>
      <c r="P108" s="300">
        <f>'[3]PL7- Khoi cong moi 21-25(IN)'!AK141</f>
        <v>0</v>
      </c>
      <c r="Q108" s="300">
        <f>'[3]PL7- Khoi cong moi 21-25(IN)'!AL141</f>
        <v>0</v>
      </c>
      <c r="R108" s="300">
        <f>'[3]PL7- Khoi cong moi 21-25(IN)'!AM141</f>
        <v>7000</v>
      </c>
      <c r="S108" s="301">
        <f>T108+U108</f>
        <v>0</v>
      </c>
      <c r="T108" s="301"/>
      <c r="U108" s="301"/>
      <c r="V108" s="299">
        <f>H108-J108-K108-L108-S108</f>
        <v>14750</v>
      </c>
      <c r="W108" s="299">
        <v>7750</v>
      </c>
      <c r="X108" s="299">
        <v>7750</v>
      </c>
      <c r="Y108" s="299">
        <v>7750</v>
      </c>
      <c r="Z108" s="317"/>
      <c r="AA108" s="805"/>
      <c r="AB108" s="10"/>
      <c r="AC108" s="10"/>
      <c r="AD108" s="10"/>
      <c r="AE108" s="10"/>
      <c r="AF108" s="10"/>
      <c r="AG108" s="10"/>
      <c r="AH108" s="11"/>
      <c r="AI108" s="781"/>
      <c r="AJ108" s="13"/>
      <c r="AK108" s="12"/>
      <c r="AL108" s="784">
        <f>P108-AI108</f>
        <v>0</v>
      </c>
      <c r="AM108" s="12"/>
      <c r="AN108" s="13"/>
      <c r="AO108" s="12"/>
      <c r="AP108" s="12"/>
      <c r="AQ108" s="12"/>
      <c r="AR108" s="12"/>
      <c r="AS108" s="12"/>
      <c r="AT108" s="13"/>
      <c r="AU108" s="14"/>
      <c r="AV108" s="13"/>
      <c r="AW108" s="14"/>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2"/>
      <c r="BY108" s="12"/>
      <c r="BZ108" s="12"/>
      <c r="CA108" s="12"/>
      <c r="CB108" s="12"/>
      <c r="CC108" s="12"/>
      <c r="CD108" s="12"/>
      <c r="CE108" s="12"/>
      <c r="CF108" s="12"/>
      <c r="CG108" s="12"/>
      <c r="CH108" s="12"/>
      <c r="CI108" s="12"/>
      <c r="CJ108" s="12"/>
      <c r="CK108" s="12"/>
      <c r="CL108" s="12"/>
      <c r="CM108" s="12"/>
      <c r="CN108" s="12"/>
      <c r="CO108" s="12"/>
      <c r="CP108" s="12"/>
      <c r="CQ108" s="12"/>
      <c r="CR108" s="12"/>
      <c r="CS108" s="12"/>
      <c r="CT108" s="12"/>
      <c r="CU108" s="12"/>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c r="DW108" s="12"/>
      <c r="DX108" s="12"/>
      <c r="DY108" s="12"/>
      <c r="DZ108" s="12"/>
      <c r="EA108" s="12"/>
      <c r="EB108" s="12"/>
      <c r="EC108" s="12"/>
      <c r="ED108" s="12"/>
      <c r="EE108" s="12"/>
      <c r="EF108" s="12"/>
      <c r="EG108" s="12"/>
      <c r="EH108" s="12"/>
      <c r="EI108" s="12"/>
      <c r="EJ108" s="12"/>
      <c r="EK108" s="12"/>
      <c r="EL108" s="12"/>
      <c r="EM108" s="12"/>
      <c r="EN108" s="12"/>
      <c r="EO108" s="12"/>
      <c r="EP108" s="12"/>
      <c r="EQ108" s="12"/>
      <c r="ER108" s="12"/>
      <c r="ES108" s="12"/>
      <c r="ET108" s="12"/>
      <c r="EU108" s="12"/>
      <c r="EV108" s="12"/>
      <c r="EW108" s="12"/>
      <c r="EX108" s="12"/>
      <c r="EY108" s="12"/>
      <c r="EZ108" s="12"/>
      <c r="FA108" s="12"/>
      <c r="FB108" s="12"/>
      <c r="FC108" s="12"/>
      <c r="FD108" s="12"/>
      <c r="FE108" s="12"/>
      <c r="FF108" s="12"/>
      <c r="FG108" s="12"/>
      <c r="FH108" s="12"/>
      <c r="FI108" s="12"/>
      <c r="FJ108" s="12"/>
      <c r="FK108" s="12"/>
      <c r="FL108" s="12"/>
      <c r="FM108" s="12"/>
      <c r="FN108" s="12"/>
      <c r="FO108" s="12"/>
      <c r="FP108" s="12"/>
      <c r="FQ108" s="12"/>
      <c r="FR108" s="13"/>
      <c r="FS108" s="812"/>
      <c r="FT108" s="12"/>
    </row>
    <row r="109" spans="1:178" ht="31.2" outlineLevel="1">
      <c r="A109" s="28">
        <f ca="1">MAX(A$15:$A108)+1</f>
        <v>88</v>
      </c>
      <c r="B109" s="291" t="s">
        <v>283</v>
      </c>
      <c r="C109" s="293" t="s">
        <v>280</v>
      </c>
      <c r="D109" s="293" t="s">
        <v>84</v>
      </c>
      <c r="E109" s="293"/>
      <c r="F109" s="293" t="s">
        <v>85</v>
      </c>
      <c r="G109" s="315" t="s">
        <v>284</v>
      </c>
      <c r="H109" s="299">
        <v>29500</v>
      </c>
      <c r="I109" s="301">
        <v>29500</v>
      </c>
      <c r="J109" s="301"/>
      <c r="K109" s="301">
        <v>300</v>
      </c>
      <c r="L109" s="300"/>
      <c r="M109" s="804">
        <f>N109+O109</f>
        <v>8000</v>
      </c>
      <c r="N109" s="804"/>
      <c r="O109" s="301">
        <f>P109+R109+Q109</f>
        <v>8000</v>
      </c>
      <c r="P109" s="300">
        <f>'[3]PL7- Khoi cong moi 21-25(IN)'!AK142</f>
        <v>8000</v>
      </c>
      <c r="Q109" s="300">
        <f>'[3]PL7- Khoi cong moi 21-25(IN)'!AL142</f>
        <v>0</v>
      </c>
      <c r="R109" s="300">
        <f>'[3]PL7- Khoi cong moi 21-25(IN)'!AM142</f>
        <v>0</v>
      </c>
      <c r="S109" s="301">
        <f>T109+U109</f>
        <v>11000</v>
      </c>
      <c r="T109" s="301"/>
      <c r="U109" s="301">
        <v>11000</v>
      </c>
      <c r="V109" s="299">
        <f>H109-J109-K109-L109-S109</f>
        <v>18200</v>
      </c>
      <c r="W109" s="299">
        <v>18200</v>
      </c>
      <c r="X109" s="299">
        <v>15700</v>
      </c>
      <c r="Y109" s="299">
        <v>4967.4074999997392</v>
      </c>
      <c r="Z109" s="316"/>
      <c r="AA109" s="805"/>
      <c r="AB109" s="10"/>
      <c r="AC109" s="10"/>
      <c r="AD109" s="10"/>
      <c r="AE109" s="10"/>
      <c r="AF109" s="10"/>
      <c r="AG109" s="10"/>
      <c r="AH109" s="11"/>
      <c r="AJ109" s="784"/>
      <c r="AN109" s="784"/>
      <c r="AT109" s="13"/>
      <c r="AU109" s="14"/>
      <c r="AV109" s="13"/>
      <c r="AW109" s="14"/>
      <c r="FR109" s="784"/>
      <c r="FS109" s="806"/>
      <c r="FV109" s="813"/>
    </row>
    <row r="110" spans="1:178" ht="62.4" outlineLevel="1">
      <c r="A110" s="28">
        <f ca="1">MAX(A$15:$A109)+1</f>
        <v>89</v>
      </c>
      <c r="B110" s="291" t="s">
        <v>285</v>
      </c>
      <c r="C110" s="293" t="s">
        <v>280</v>
      </c>
      <c r="D110" s="293" t="s">
        <v>84</v>
      </c>
      <c r="E110" s="293"/>
      <c r="F110" s="293" t="s">
        <v>85</v>
      </c>
      <c r="G110" s="315" t="s">
        <v>286</v>
      </c>
      <c r="H110" s="299">
        <v>90000</v>
      </c>
      <c r="I110" s="301">
        <v>90000</v>
      </c>
      <c r="J110" s="301"/>
      <c r="K110" s="301">
        <v>750</v>
      </c>
      <c r="L110" s="300"/>
      <c r="M110" s="804"/>
      <c r="N110" s="804"/>
      <c r="O110" s="301"/>
      <c r="P110" s="300"/>
      <c r="Q110" s="300"/>
      <c r="R110" s="300"/>
      <c r="S110" s="301">
        <f>T110+U110</f>
        <v>13000</v>
      </c>
      <c r="T110" s="301"/>
      <c r="U110" s="301">
        <v>13000</v>
      </c>
      <c r="V110" s="299">
        <f>H110-J110-K110-L110-S110</f>
        <v>76250</v>
      </c>
      <c r="W110" s="299">
        <v>76250</v>
      </c>
      <c r="X110" s="299">
        <v>15000</v>
      </c>
      <c r="Y110" s="299">
        <v>8000</v>
      </c>
      <c r="Z110" s="316"/>
      <c r="AA110" s="805"/>
      <c r="AB110" s="10"/>
      <c r="AC110" s="10"/>
      <c r="AD110" s="10"/>
      <c r="AE110" s="10"/>
      <c r="AF110" s="10"/>
      <c r="AG110" s="10"/>
      <c r="AH110" s="11"/>
      <c r="AJ110" s="784"/>
      <c r="AN110" s="784"/>
      <c r="AT110" s="13"/>
      <c r="AU110" s="14"/>
      <c r="AV110" s="13"/>
      <c r="AW110" s="14"/>
      <c r="FR110" s="784"/>
      <c r="FS110" s="806"/>
    </row>
    <row r="111" spans="1:178" ht="38.25" customHeight="1">
      <c r="A111" s="288" t="s">
        <v>379</v>
      </c>
      <c r="B111" s="289" t="s">
        <v>1885</v>
      </c>
      <c r="C111" s="290"/>
      <c r="D111" s="290"/>
      <c r="E111" s="290"/>
      <c r="F111" s="290"/>
      <c r="G111" s="290"/>
      <c r="H111" s="290">
        <f>+H112</f>
        <v>32284</v>
      </c>
      <c r="I111" s="290">
        <f t="shared" ref="I111:Y111" si="20">+I112</f>
        <v>32284</v>
      </c>
      <c r="J111" s="290">
        <f t="shared" si="20"/>
        <v>0</v>
      </c>
      <c r="K111" s="290">
        <f t="shared" si="20"/>
        <v>0</v>
      </c>
      <c r="L111" s="290">
        <f t="shared" si="20"/>
        <v>0</v>
      </c>
      <c r="M111" s="290">
        <f t="shared" si="20"/>
        <v>0</v>
      </c>
      <c r="N111" s="290">
        <f t="shared" si="20"/>
        <v>0</v>
      </c>
      <c r="O111" s="290">
        <f t="shared" si="20"/>
        <v>0</v>
      </c>
      <c r="P111" s="290">
        <f t="shared" si="20"/>
        <v>0</v>
      </c>
      <c r="Q111" s="290">
        <f t="shared" si="20"/>
        <v>0</v>
      </c>
      <c r="R111" s="290">
        <f t="shared" si="20"/>
        <v>0</v>
      </c>
      <c r="S111" s="290">
        <f t="shared" si="20"/>
        <v>29700</v>
      </c>
      <c r="T111" s="290">
        <f t="shared" si="20"/>
        <v>0</v>
      </c>
      <c r="U111" s="290">
        <f t="shared" si="20"/>
        <v>29700</v>
      </c>
      <c r="V111" s="290">
        <f t="shared" si="20"/>
        <v>2584</v>
      </c>
      <c r="W111" s="290">
        <f t="shared" si="20"/>
        <v>2584</v>
      </c>
      <c r="X111" s="290">
        <f t="shared" si="20"/>
        <v>2584</v>
      </c>
      <c r="Y111" s="290">
        <f t="shared" si="20"/>
        <v>2584</v>
      </c>
      <c r="Z111" s="290"/>
      <c r="AA111" s="801"/>
      <c r="AB111" s="802"/>
      <c r="AC111" s="802"/>
      <c r="AD111" s="803"/>
      <c r="AE111" s="803"/>
      <c r="AF111" s="802"/>
      <c r="AG111" s="802"/>
      <c r="AH111" s="11"/>
      <c r="AI111" s="11"/>
      <c r="AJ111" s="11"/>
      <c r="AK111" s="11"/>
      <c r="AL111" s="11"/>
      <c r="AM111" s="12"/>
      <c r="AN111" s="13"/>
      <c r="AO111" s="12"/>
      <c r="AP111" s="12"/>
      <c r="AQ111" s="12"/>
      <c r="AR111" s="12"/>
      <c r="AS111" s="12"/>
      <c r="AT111" s="13"/>
      <c r="AU111" s="14"/>
      <c r="AV111" s="13"/>
      <c r="AW111" s="14"/>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c r="EC111" s="12"/>
      <c r="ED111" s="12"/>
      <c r="EE111" s="12"/>
      <c r="EF111" s="12"/>
      <c r="EG111" s="12"/>
      <c r="EH111" s="12"/>
      <c r="EI111" s="12"/>
      <c r="EJ111" s="12"/>
      <c r="EK111" s="12"/>
      <c r="EL111" s="12"/>
      <c r="EM111" s="12"/>
      <c r="EN111" s="12"/>
      <c r="EO111" s="12"/>
      <c r="EP111" s="12"/>
      <c r="EQ111" s="12"/>
      <c r="ER111" s="12"/>
      <c r="ES111" s="12"/>
      <c r="ET111" s="12"/>
      <c r="EU111" s="12"/>
      <c r="EV111" s="12"/>
      <c r="EW111" s="12"/>
      <c r="EX111" s="12"/>
      <c r="EY111" s="12"/>
      <c r="EZ111" s="12"/>
      <c r="FA111" s="12"/>
      <c r="FB111" s="12"/>
      <c r="FC111" s="12"/>
      <c r="FD111" s="12"/>
      <c r="FE111" s="12"/>
      <c r="FF111" s="12"/>
      <c r="FG111" s="12"/>
      <c r="FH111" s="12"/>
      <c r="FI111" s="12"/>
      <c r="FJ111" s="12"/>
      <c r="FK111" s="12"/>
      <c r="FL111" s="12"/>
      <c r="FM111" s="12"/>
      <c r="FN111" s="12"/>
      <c r="FO111" s="12"/>
      <c r="FP111" s="12"/>
      <c r="FQ111" s="12"/>
      <c r="FR111" s="13"/>
      <c r="FS111" s="15"/>
      <c r="FT111" s="290">
        <f>SUM(FT113:FT115)</f>
        <v>0</v>
      </c>
    </row>
    <row r="112" spans="1:178" ht="31.2" outlineLevel="1">
      <c r="A112" s="864">
        <v>90</v>
      </c>
      <c r="B112" s="291" t="s">
        <v>151</v>
      </c>
      <c r="C112" s="293" t="s">
        <v>1885</v>
      </c>
      <c r="D112" s="293" t="s">
        <v>84</v>
      </c>
      <c r="E112" s="293"/>
      <c r="F112" s="293" t="s">
        <v>147</v>
      </c>
      <c r="G112" s="293" t="s">
        <v>152</v>
      </c>
      <c r="H112" s="308">
        <v>32284</v>
      </c>
      <c r="I112" s="308">
        <v>32284</v>
      </c>
      <c r="J112" s="308"/>
      <c r="K112" s="308"/>
      <c r="L112" s="308"/>
      <c r="M112" s="804"/>
      <c r="N112" s="804"/>
      <c r="O112" s="301"/>
      <c r="P112" s="299"/>
      <c r="Q112" s="299"/>
      <c r="R112" s="299"/>
      <c r="S112" s="301">
        <f>T112+U112</f>
        <v>29700</v>
      </c>
      <c r="T112" s="301"/>
      <c r="U112" s="301">
        <v>29700</v>
      </c>
      <c r="V112" s="299">
        <f>I112-J112-K112-U112</f>
        <v>2584</v>
      </c>
      <c r="W112" s="299">
        <v>2584</v>
      </c>
      <c r="X112" s="299">
        <v>2584</v>
      </c>
      <c r="Y112" s="299">
        <v>2584</v>
      </c>
      <c r="Z112" s="293"/>
      <c r="AA112" s="805"/>
      <c r="AB112" s="10"/>
      <c r="AC112" s="10"/>
      <c r="AD112" s="10"/>
      <c r="AE112" s="10"/>
      <c r="AF112" s="10"/>
      <c r="AG112" s="10"/>
      <c r="AH112" s="11"/>
      <c r="AJ112" s="784"/>
      <c r="AL112" s="784"/>
      <c r="AN112" s="784"/>
      <c r="AT112" s="13"/>
      <c r="AU112" s="14"/>
      <c r="AV112" s="13"/>
      <c r="AW112" s="14"/>
      <c r="FR112" s="784"/>
      <c r="FS112" s="807"/>
    </row>
    <row r="113" spans="1:179" ht="36" customHeight="1">
      <c r="A113" s="285" t="s">
        <v>287</v>
      </c>
      <c r="B113" s="286" t="s">
        <v>288</v>
      </c>
      <c r="C113" s="287"/>
      <c r="D113" s="287"/>
      <c r="E113" s="287"/>
      <c r="F113" s="287"/>
      <c r="G113" s="287"/>
      <c r="H113" s="297">
        <f t="shared" ref="H113:Y113" si="21">SUM(H114:H118)</f>
        <v>978764</v>
      </c>
      <c r="I113" s="297">
        <f t="shared" si="21"/>
        <v>156502</v>
      </c>
      <c r="J113" s="297">
        <f t="shared" si="21"/>
        <v>0</v>
      </c>
      <c r="K113" s="297">
        <f t="shared" si="21"/>
        <v>0</v>
      </c>
      <c r="L113" s="297">
        <f t="shared" si="21"/>
        <v>226000</v>
      </c>
      <c r="M113" s="297">
        <f t="shared" si="21"/>
        <v>20000</v>
      </c>
      <c r="N113" s="297">
        <f t="shared" si="21"/>
        <v>230788</v>
      </c>
      <c r="O113" s="297">
        <f t="shared" si="21"/>
        <v>210788</v>
      </c>
      <c r="P113" s="297">
        <f t="shared" si="21"/>
        <v>20000</v>
      </c>
      <c r="Q113" s="297">
        <f t="shared" si="21"/>
        <v>15212</v>
      </c>
      <c r="R113" s="297">
        <f t="shared" si="21"/>
        <v>15212</v>
      </c>
      <c r="S113" s="297">
        <f t="shared" si="21"/>
        <v>511787.81400000001</v>
      </c>
      <c r="T113" s="297">
        <f t="shared" si="21"/>
        <v>461787.81400000001</v>
      </c>
      <c r="U113" s="297">
        <f t="shared" si="21"/>
        <v>50000</v>
      </c>
      <c r="V113" s="297">
        <f t="shared" si="21"/>
        <v>354776.18599999999</v>
      </c>
      <c r="W113" s="297">
        <f t="shared" si="21"/>
        <v>192776.18599999999</v>
      </c>
      <c r="X113" s="297">
        <f t="shared" si="21"/>
        <v>136656.18599999999</v>
      </c>
      <c r="Y113" s="297">
        <f t="shared" si="21"/>
        <v>77382</v>
      </c>
      <c r="Z113" s="297"/>
      <c r="AA113" s="801"/>
      <c r="AB113" s="10"/>
      <c r="AC113" s="10"/>
      <c r="AD113" s="10"/>
      <c r="AE113" s="10"/>
      <c r="AF113" s="10"/>
      <c r="AG113" s="10"/>
      <c r="AH113" s="11"/>
      <c r="AI113" s="11"/>
      <c r="AJ113" s="11"/>
      <c r="AK113" s="11"/>
      <c r="AL113" s="11"/>
      <c r="AM113" s="12"/>
      <c r="AN113" s="13"/>
      <c r="AO113" s="12"/>
      <c r="AP113" s="12"/>
      <c r="AQ113" s="12"/>
      <c r="AR113" s="12"/>
      <c r="AS113" s="12"/>
      <c r="AT113" s="13"/>
      <c r="AU113" s="14"/>
      <c r="AV113" s="13"/>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c r="EB113" s="12"/>
      <c r="EC113" s="12"/>
      <c r="ED113" s="12"/>
      <c r="EE113" s="12"/>
      <c r="EF113" s="12"/>
      <c r="EG113" s="12"/>
      <c r="EH113" s="12"/>
      <c r="EI113" s="12"/>
      <c r="EJ113" s="12"/>
      <c r="EK113" s="12"/>
      <c r="EL113" s="12"/>
      <c r="EM113" s="12"/>
      <c r="EN113" s="12"/>
      <c r="EO113" s="12"/>
      <c r="EP113" s="12"/>
      <c r="EQ113" s="12"/>
      <c r="ER113" s="12"/>
      <c r="ES113" s="12"/>
      <c r="ET113" s="12"/>
      <c r="EU113" s="12"/>
      <c r="EV113" s="12"/>
      <c r="EW113" s="12"/>
      <c r="EX113" s="12"/>
      <c r="EY113" s="12"/>
      <c r="EZ113" s="12"/>
      <c r="FA113" s="12"/>
      <c r="FB113" s="12"/>
      <c r="FC113" s="12"/>
      <c r="FD113" s="12"/>
      <c r="FE113" s="12"/>
      <c r="FF113" s="12"/>
      <c r="FG113" s="12"/>
      <c r="FH113" s="12"/>
      <c r="FI113" s="12"/>
      <c r="FJ113" s="12"/>
      <c r="FK113" s="12"/>
      <c r="FL113" s="12"/>
      <c r="FM113" s="12"/>
      <c r="FN113" s="12"/>
      <c r="FO113" s="12"/>
      <c r="FP113" s="12"/>
      <c r="FQ113" s="12"/>
      <c r="FR113" s="13"/>
      <c r="FS113" s="15"/>
      <c r="FT113" s="297">
        <f>SUM(FT114:FT118)</f>
        <v>0</v>
      </c>
    </row>
    <row r="114" spans="1:179" ht="54" customHeight="1" outlineLevel="1">
      <c r="A114" s="863">
        <v>91</v>
      </c>
      <c r="B114" s="29" t="s">
        <v>294</v>
      </c>
      <c r="C114" s="351" t="s">
        <v>295</v>
      </c>
      <c r="D114" s="351"/>
      <c r="E114" s="293"/>
      <c r="F114" s="351" t="s">
        <v>303</v>
      </c>
      <c r="G114" s="315" t="s">
        <v>296</v>
      </c>
      <c r="H114" s="299">
        <v>99620</v>
      </c>
      <c r="I114" s="301">
        <v>99620</v>
      </c>
      <c r="J114" s="301"/>
      <c r="K114" s="301"/>
      <c r="L114" s="300"/>
      <c r="M114" s="804"/>
      <c r="N114" s="804"/>
      <c r="O114" s="301"/>
      <c r="P114" s="300"/>
      <c r="Q114" s="300"/>
      <c r="R114" s="300"/>
      <c r="S114" s="301">
        <v>30000</v>
      </c>
      <c r="T114" s="301"/>
      <c r="U114" s="301">
        <v>30000</v>
      </c>
      <c r="V114" s="299">
        <v>69620</v>
      </c>
      <c r="W114" s="299">
        <v>69620</v>
      </c>
      <c r="X114" s="299">
        <v>30000</v>
      </c>
      <c r="Y114" s="299">
        <v>15000</v>
      </c>
      <c r="Z114" s="316" t="s">
        <v>297</v>
      </c>
      <c r="AA114" s="814"/>
      <c r="AB114" s="10"/>
      <c r="AC114" s="10"/>
      <c r="AD114" s="10"/>
      <c r="AE114" s="10"/>
      <c r="AF114" s="10"/>
      <c r="AG114" s="10"/>
      <c r="AH114" s="11"/>
      <c r="AJ114" s="784"/>
      <c r="AN114" s="784"/>
      <c r="AT114" s="13"/>
      <c r="AU114" s="14"/>
      <c r="AV114" s="13"/>
      <c r="AW114" s="14"/>
      <c r="FR114" s="784"/>
      <c r="FS114" s="806"/>
    </row>
    <row r="115" spans="1:179" ht="44.4" customHeight="1" outlineLevel="1">
      <c r="A115" s="863">
        <v>92</v>
      </c>
      <c r="B115" s="291" t="s">
        <v>300</v>
      </c>
      <c r="C115" s="352" t="s">
        <v>301</v>
      </c>
      <c r="D115" s="28" t="s">
        <v>47</v>
      </c>
      <c r="E115" s="28" t="s">
        <v>47</v>
      </c>
      <c r="F115" s="28" t="s">
        <v>222</v>
      </c>
      <c r="G115" s="28" t="s">
        <v>385</v>
      </c>
      <c r="H115" s="301">
        <v>246000</v>
      </c>
      <c r="I115" s="301">
        <v>20000</v>
      </c>
      <c r="J115" s="301"/>
      <c r="K115" s="301"/>
      <c r="L115" s="301">
        <v>226000</v>
      </c>
      <c r="M115" s="301">
        <v>20000</v>
      </c>
      <c r="N115" s="301">
        <v>230788</v>
      </c>
      <c r="O115" s="301">
        <v>210788</v>
      </c>
      <c r="P115" s="301">
        <v>20000</v>
      </c>
      <c r="Q115" s="301">
        <v>15212</v>
      </c>
      <c r="R115" s="301">
        <v>15212</v>
      </c>
      <c r="S115" s="301">
        <v>230787.81400000001</v>
      </c>
      <c r="T115" s="301">
        <v>210787.81400000001</v>
      </c>
      <c r="U115" s="301">
        <v>20000</v>
      </c>
      <c r="V115" s="299">
        <v>15212.185999999987</v>
      </c>
      <c r="W115" s="299">
        <v>15212.185999999987</v>
      </c>
      <c r="X115" s="299">
        <v>15212.185999999987</v>
      </c>
      <c r="Y115" s="299">
        <v>14000</v>
      </c>
      <c r="Z115" s="316" t="s">
        <v>1721</v>
      </c>
      <c r="AA115" s="814"/>
      <c r="AB115" s="10"/>
      <c r="AC115" s="10"/>
      <c r="AD115" s="10"/>
      <c r="AE115" s="10"/>
      <c r="AF115" s="10"/>
      <c r="AG115" s="10"/>
      <c r="AH115" s="11"/>
      <c r="AJ115" s="784"/>
      <c r="AN115" s="784"/>
      <c r="AT115" s="13"/>
      <c r="AU115" s="14"/>
      <c r="AV115" s="13"/>
      <c r="AW115" s="14"/>
      <c r="FR115" s="784"/>
      <c r="FS115" s="806"/>
      <c r="FU115" s="813"/>
      <c r="FW115" s="813"/>
    </row>
    <row r="116" spans="1:179" ht="48.75" customHeight="1" outlineLevel="1">
      <c r="A116" s="863">
        <v>93</v>
      </c>
      <c r="B116" s="29" t="s">
        <v>304</v>
      </c>
      <c r="C116" s="28" t="s">
        <v>305</v>
      </c>
      <c r="D116" s="815" t="s">
        <v>47</v>
      </c>
      <c r="E116" s="293"/>
      <c r="F116" s="815" t="s">
        <v>303</v>
      </c>
      <c r="G116" s="28" t="s">
        <v>386</v>
      </c>
      <c r="H116" s="299">
        <v>263262</v>
      </c>
      <c r="I116" s="301"/>
      <c r="J116" s="301"/>
      <c r="K116" s="301"/>
      <c r="L116" s="300"/>
      <c r="M116" s="804"/>
      <c r="N116" s="804"/>
      <c r="O116" s="301"/>
      <c r="P116" s="300"/>
      <c r="Q116" s="300"/>
      <c r="R116" s="300"/>
      <c r="S116" s="301">
        <v>192000</v>
      </c>
      <c r="T116" s="301">
        <v>192000</v>
      </c>
      <c r="U116" s="301"/>
      <c r="V116" s="299">
        <v>71062</v>
      </c>
      <c r="W116" s="299">
        <v>71062</v>
      </c>
      <c r="X116" s="299">
        <v>71062</v>
      </c>
      <c r="Y116" s="299">
        <v>28000</v>
      </c>
      <c r="Z116" s="316" t="s">
        <v>1721</v>
      </c>
      <c r="AA116" s="814"/>
      <c r="AB116" s="10"/>
      <c r="AC116" s="10"/>
      <c r="AD116" s="10"/>
      <c r="AE116" s="10"/>
      <c r="AF116" s="10"/>
      <c r="AG116" s="10"/>
      <c r="AH116" s="11"/>
      <c r="AJ116" s="784"/>
      <c r="AN116" s="784"/>
      <c r="AT116" s="13"/>
      <c r="AU116" s="14"/>
      <c r="AV116" s="13"/>
      <c r="AW116" s="14"/>
      <c r="FR116" s="784"/>
      <c r="FS116" s="806"/>
    </row>
    <row r="117" spans="1:179" ht="71.400000000000006" customHeight="1" outlineLevel="1">
      <c r="A117" s="863">
        <v>94</v>
      </c>
      <c r="B117" s="29" t="s">
        <v>308</v>
      </c>
      <c r="C117" s="28" t="s">
        <v>309</v>
      </c>
      <c r="D117" s="815" t="s">
        <v>47</v>
      </c>
      <c r="E117" s="293"/>
      <c r="F117" s="815" t="s">
        <v>303</v>
      </c>
      <c r="G117" s="28" t="s">
        <v>383</v>
      </c>
      <c r="H117" s="321">
        <v>220000</v>
      </c>
      <c r="I117" s="301">
        <v>22000</v>
      </c>
      <c r="J117" s="301"/>
      <c r="K117" s="301"/>
      <c r="L117" s="300"/>
      <c r="M117" s="804"/>
      <c r="N117" s="804"/>
      <c r="O117" s="301"/>
      <c r="P117" s="300"/>
      <c r="Q117" s="300"/>
      <c r="R117" s="300"/>
      <c r="S117" s="301">
        <v>36000</v>
      </c>
      <c r="T117" s="301">
        <v>36000</v>
      </c>
      <c r="U117" s="301"/>
      <c r="V117" s="299">
        <v>184000</v>
      </c>
      <c r="W117" s="299">
        <v>22000</v>
      </c>
      <c r="X117" s="299">
        <v>5500</v>
      </c>
      <c r="Y117" s="299">
        <v>5500</v>
      </c>
      <c r="Z117" s="316" t="s">
        <v>1721</v>
      </c>
      <c r="AA117" s="814"/>
      <c r="AB117" s="10"/>
      <c r="AC117" s="10"/>
      <c r="AD117" s="10"/>
      <c r="AE117" s="10"/>
      <c r="AF117" s="10"/>
      <c r="AG117" s="10"/>
      <c r="AH117" s="11"/>
      <c r="AJ117" s="784"/>
      <c r="AN117" s="784"/>
      <c r="AT117" s="13"/>
      <c r="AU117" s="14"/>
      <c r="AV117" s="13"/>
      <c r="AW117" s="14"/>
      <c r="FR117" s="784"/>
      <c r="FS117" s="806"/>
    </row>
    <row r="118" spans="1:179" ht="31.2" outlineLevel="1">
      <c r="A118" s="863">
        <v>95</v>
      </c>
      <c r="B118" s="29" t="s">
        <v>419</v>
      </c>
      <c r="C118" s="28" t="s">
        <v>1615</v>
      </c>
      <c r="D118" s="815"/>
      <c r="E118" s="293"/>
      <c r="F118" s="815" t="s">
        <v>303</v>
      </c>
      <c r="G118" s="28" t="s">
        <v>420</v>
      </c>
      <c r="H118" s="321">
        <v>149882</v>
      </c>
      <c r="I118" s="321">
        <f>H118-135000</f>
        <v>14882</v>
      </c>
      <c r="J118" s="301"/>
      <c r="K118" s="301"/>
      <c r="L118" s="300"/>
      <c r="M118" s="804"/>
      <c r="N118" s="804"/>
      <c r="O118" s="301"/>
      <c r="P118" s="300"/>
      <c r="Q118" s="300"/>
      <c r="R118" s="300"/>
      <c r="S118" s="321">
        <v>23000</v>
      </c>
      <c r="T118" s="321">
        <v>23000</v>
      </c>
      <c r="U118" s="301"/>
      <c r="V118" s="299">
        <v>14882</v>
      </c>
      <c r="W118" s="299">
        <v>14882</v>
      </c>
      <c r="X118" s="299">
        <v>14882</v>
      </c>
      <c r="Y118" s="299">
        <v>14882</v>
      </c>
      <c r="Z118" s="316" t="s">
        <v>1721</v>
      </c>
      <c r="AA118" s="814"/>
      <c r="AB118" s="10"/>
      <c r="AC118" s="10"/>
      <c r="AD118" s="10"/>
      <c r="AE118" s="10"/>
      <c r="AF118" s="10"/>
      <c r="AG118" s="10"/>
      <c r="AH118" s="11"/>
      <c r="AJ118" s="784"/>
      <c r="AN118" s="784"/>
      <c r="AT118" s="13"/>
      <c r="AU118" s="14"/>
      <c r="AV118" s="13"/>
      <c r="AW118" s="14"/>
      <c r="FR118" s="784"/>
      <c r="FS118" s="806"/>
    </row>
    <row r="119" spans="1:179" ht="54.75" customHeight="1">
      <c r="A119" s="318" t="s">
        <v>47</v>
      </c>
      <c r="B119" s="319" t="s">
        <v>310</v>
      </c>
      <c r="C119" s="320"/>
      <c r="D119" s="320"/>
      <c r="E119" s="320"/>
      <c r="F119" s="320"/>
      <c r="G119" s="322"/>
      <c r="H119" s="322"/>
      <c r="I119" s="322"/>
      <c r="J119" s="322"/>
      <c r="K119" s="322"/>
      <c r="L119" s="322"/>
      <c r="M119" s="322"/>
      <c r="N119" s="322"/>
      <c r="O119" s="322"/>
      <c r="P119" s="322"/>
      <c r="Q119" s="322"/>
      <c r="R119" s="322"/>
      <c r="S119" s="322"/>
      <c r="T119" s="322"/>
      <c r="U119" s="322"/>
      <c r="V119" s="322"/>
      <c r="W119" s="322">
        <f>SUM(W120:W134)</f>
        <v>2718067.2</v>
      </c>
      <c r="X119" s="322">
        <v>1820000</v>
      </c>
      <c r="Y119" s="322">
        <f>255871+13000-21501</f>
        <v>247370</v>
      </c>
      <c r="Z119" s="323"/>
      <c r="AA119" s="462"/>
      <c r="AB119" s="10"/>
      <c r="AC119" s="10"/>
      <c r="AD119" s="10"/>
      <c r="AE119" s="10"/>
      <c r="AF119" s="10"/>
      <c r="AG119" s="10"/>
      <c r="AH119" s="11"/>
      <c r="AI119" s="11"/>
      <c r="AJ119" s="11"/>
      <c r="AK119" s="11"/>
      <c r="AL119" s="11"/>
      <c r="AM119" s="12"/>
      <c r="AN119" s="13"/>
      <c r="AO119" s="12"/>
      <c r="AP119" s="12"/>
      <c r="AQ119" s="12"/>
      <c r="AR119" s="12"/>
      <c r="AS119" s="12"/>
      <c r="AT119" s="13"/>
      <c r="AU119" s="14"/>
      <c r="AV119" s="13"/>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c r="CG119" s="12"/>
      <c r="CH119" s="12"/>
      <c r="CI119" s="12"/>
      <c r="CJ119" s="12"/>
      <c r="CK119" s="12"/>
      <c r="CL119" s="12"/>
      <c r="CM119" s="12"/>
      <c r="CN119" s="12"/>
      <c r="CO119" s="12"/>
      <c r="CP119" s="12"/>
      <c r="CQ119" s="12"/>
      <c r="CR119" s="12"/>
      <c r="CS119" s="12"/>
      <c r="CT119" s="12"/>
      <c r="CU119" s="12"/>
      <c r="CV119" s="12"/>
      <c r="CW119" s="12"/>
      <c r="CX119" s="12"/>
      <c r="CY119" s="12"/>
      <c r="CZ119" s="12"/>
      <c r="DA119" s="12"/>
      <c r="DB119" s="12"/>
      <c r="DC119" s="12"/>
      <c r="DD119" s="12"/>
      <c r="DE119" s="12"/>
      <c r="DF119" s="12"/>
      <c r="DG119" s="12"/>
      <c r="DH119" s="12"/>
      <c r="DI119" s="12"/>
      <c r="DJ119" s="12"/>
      <c r="DK119" s="12"/>
      <c r="DL119" s="12"/>
      <c r="DM119" s="12"/>
      <c r="DN119" s="12"/>
      <c r="DO119" s="12"/>
      <c r="DP119" s="12"/>
      <c r="DQ119" s="12"/>
      <c r="DR119" s="12"/>
      <c r="DS119" s="12"/>
      <c r="DT119" s="12"/>
      <c r="DU119" s="12"/>
      <c r="DV119" s="12"/>
      <c r="DW119" s="12"/>
      <c r="DX119" s="12"/>
      <c r="DY119" s="12"/>
      <c r="DZ119" s="12"/>
      <c r="EA119" s="12"/>
      <c r="EB119" s="12"/>
      <c r="EC119" s="12"/>
      <c r="ED119" s="12"/>
      <c r="EE119" s="12"/>
      <c r="EF119" s="12"/>
      <c r="EG119" s="12"/>
      <c r="EH119" s="12"/>
      <c r="EI119" s="12"/>
      <c r="EJ119" s="12"/>
      <c r="EK119" s="12"/>
      <c r="EL119" s="12"/>
      <c r="EM119" s="12"/>
      <c r="EN119" s="12"/>
      <c r="EO119" s="12"/>
      <c r="EP119" s="12"/>
      <c r="EQ119" s="12"/>
      <c r="ER119" s="12"/>
      <c r="ES119" s="12"/>
      <c r="ET119" s="12"/>
      <c r="EU119" s="12"/>
      <c r="EV119" s="12"/>
      <c r="EW119" s="12"/>
      <c r="EX119" s="12"/>
      <c r="EY119" s="12"/>
      <c r="EZ119" s="12"/>
      <c r="FA119" s="12"/>
      <c r="FB119" s="12"/>
      <c r="FC119" s="12"/>
      <c r="FD119" s="12"/>
      <c r="FE119" s="12"/>
      <c r="FF119" s="12"/>
      <c r="FG119" s="12"/>
      <c r="FH119" s="12"/>
      <c r="FI119" s="12"/>
      <c r="FJ119" s="12"/>
      <c r="FK119" s="12"/>
      <c r="FL119" s="12"/>
      <c r="FM119" s="12"/>
      <c r="FN119" s="12"/>
      <c r="FO119" s="12"/>
      <c r="FP119" s="12"/>
      <c r="FQ119" s="12"/>
      <c r="FR119" s="13"/>
      <c r="FS119" s="15"/>
      <c r="FT119" s="12"/>
    </row>
    <row r="120" spans="1:179" hidden="1">
      <c r="A120" s="816">
        <v>1</v>
      </c>
      <c r="B120" s="817" t="s">
        <v>311</v>
      </c>
      <c r="C120" s="818"/>
      <c r="D120" s="818"/>
      <c r="E120" s="818"/>
      <c r="F120" s="818"/>
      <c r="G120" s="819"/>
      <c r="H120" s="820"/>
      <c r="I120" s="821"/>
      <c r="J120" s="821"/>
      <c r="K120" s="821"/>
      <c r="L120" s="822"/>
      <c r="M120" s="823"/>
      <c r="N120" s="823"/>
      <c r="O120" s="821"/>
      <c r="P120" s="822"/>
      <c r="Q120" s="822"/>
      <c r="R120" s="822"/>
      <c r="S120" s="821"/>
      <c r="T120" s="821"/>
      <c r="U120" s="821"/>
      <c r="V120" s="820"/>
      <c r="W120" s="820">
        <v>299642</v>
      </c>
      <c r="X120" s="820">
        <v>299642</v>
      </c>
      <c r="Y120" s="820"/>
      <c r="Z120" s="824"/>
      <c r="AA120" s="805"/>
      <c r="AB120" s="10"/>
      <c r="AC120" s="10"/>
      <c r="AD120" s="10"/>
      <c r="AE120" s="10"/>
      <c r="AF120" s="10"/>
      <c r="AG120" s="10"/>
      <c r="AH120" s="11"/>
      <c r="AJ120" s="784"/>
      <c r="AN120" s="784"/>
      <c r="AT120" s="13"/>
      <c r="AU120" s="14"/>
      <c r="AV120" s="13"/>
      <c r="AW120" s="14"/>
      <c r="FR120" s="784"/>
      <c r="FS120" s="806"/>
    </row>
    <row r="121" spans="1:179" hidden="1">
      <c r="A121" s="72">
        <f>MAX(A120:A120)+1</f>
        <v>2</v>
      </c>
      <c r="B121" s="825" t="s">
        <v>312</v>
      </c>
      <c r="C121" s="826"/>
      <c r="D121" s="826"/>
      <c r="E121" s="826"/>
      <c r="F121" s="826"/>
      <c r="G121" s="827"/>
      <c r="H121" s="828"/>
      <c r="I121" s="829"/>
      <c r="J121" s="829"/>
      <c r="K121" s="829"/>
      <c r="L121" s="830"/>
      <c r="M121" s="831"/>
      <c r="N121" s="831"/>
      <c r="O121" s="829"/>
      <c r="P121" s="830"/>
      <c r="Q121" s="830"/>
      <c r="R121" s="830"/>
      <c r="S121" s="829"/>
      <c r="T121" s="829"/>
      <c r="U121" s="829"/>
      <c r="V121" s="828"/>
      <c r="W121" s="828">
        <v>1435732</v>
      </c>
      <c r="X121" s="828">
        <v>1435732</v>
      </c>
      <c r="Y121" s="828"/>
      <c r="Z121" s="832"/>
      <c r="AA121" s="805"/>
      <c r="AB121" s="10"/>
      <c r="AC121" s="10"/>
      <c r="AD121" s="10"/>
      <c r="AE121" s="10"/>
      <c r="AF121" s="10"/>
      <c r="AG121" s="10"/>
      <c r="AH121" s="11"/>
      <c r="AJ121" s="784"/>
      <c r="AN121" s="784"/>
      <c r="AT121" s="13"/>
      <c r="AU121" s="14"/>
      <c r="AV121" s="13"/>
      <c r="AW121" s="14"/>
      <c r="FR121" s="784"/>
      <c r="FS121" s="806"/>
    </row>
    <row r="122" spans="1:179" hidden="1">
      <c r="A122" s="72">
        <f t="shared" ref="A122:A136" si="22">MAX(A121:A121)+1</f>
        <v>3</v>
      </c>
      <c r="B122" s="825" t="s">
        <v>313</v>
      </c>
      <c r="C122" s="826"/>
      <c r="D122" s="826"/>
      <c r="E122" s="826"/>
      <c r="F122" s="826"/>
      <c r="G122" s="827"/>
      <c r="H122" s="828"/>
      <c r="I122" s="829"/>
      <c r="J122" s="829"/>
      <c r="K122" s="829"/>
      <c r="L122" s="830"/>
      <c r="M122" s="831"/>
      <c r="N122" s="831"/>
      <c r="O122" s="829"/>
      <c r="P122" s="830"/>
      <c r="Q122" s="830"/>
      <c r="R122" s="830"/>
      <c r="S122" s="829"/>
      <c r="T122" s="829"/>
      <c r="U122" s="829"/>
      <c r="V122" s="828"/>
      <c r="W122" s="828">
        <v>470443</v>
      </c>
      <c r="X122" s="828">
        <v>470443</v>
      </c>
      <c r="Y122" s="828"/>
      <c r="Z122" s="832"/>
      <c r="AA122" s="805"/>
      <c r="AB122" s="10"/>
      <c r="AC122" s="10"/>
      <c r="AD122" s="10"/>
      <c r="AE122" s="10"/>
      <c r="AF122" s="10"/>
      <c r="AG122" s="10"/>
      <c r="AH122" s="11"/>
      <c r="AJ122" s="784"/>
      <c r="AN122" s="784"/>
      <c r="AT122" s="13"/>
      <c r="AU122" s="14"/>
      <c r="AV122" s="13"/>
      <c r="AW122" s="14"/>
      <c r="FR122" s="784"/>
      <c r="FS122" s="806"/>
    </row>
    <row r="123" spans="1:179" hidden="1">
      <c r="A123" s="72">
        <f t="shared" si="22"/>
        <v>4</v>
      </c>
      <c r="B123" s="825" t="s">
        <v>314</v>
      </c>
      <c r="C123" s="826"/>
      <c r="D123" s="826"/>
      <c r="E123" s="826"/>
      <c r="F123" s="826"/>
      <c r="G123" s="827"/>
      <c r="H123" s="828"/>
      <c r="I123" s="829"/>
      <c r="J123" s="829"/>
      <c r="K123" s="829"/>
      <c r="L123" s="830"/>
      <c r="M123" s="831"/>
      <c r="N123" s="831"/>
      <c r="O123" s="829"/>
      <c r="P123" s="830"/>
      <c r="Q123" s="830"/>
      <c r="R123" s="830"/>
      <c r="S123" s="829"/>
      <c r="T123" s="829"/>
      <c r="U123" s="829"/>
      <c r="V123" s="828"/>
      <c r="W123" s="828">
        <v>289584</v>
      </c>
      <c r="X123" s="828">
        <v>289584</v>
      </c>
      <c r="Y123" s="828"/>
      <c r="Z123" s="832"/>
      <c r="AA123" s="805"/>
      <c r="AB123" s="10"/>
      <c r="AC123" s="10"/>
      <c r="AD123" s="10"/>
      <c r="AE123" s="10"/>
      <c r="AF123" s="10"/>
      <c r="AG123" s="10"/>
      <c r="AH123" s="11"/>
      <c r="AJ123" s="784"/>
      <c r="AN123" s="784"/>
      <c r="AT123" s="13"/>
      <c r="AU123" s="14"/>
      <c r="AV123" s="13"/>
      <c r="AW123" s="14"/>
      <c r="FR123" s="784"/>
      <c r="FS123" s="806"/>
    </row>
    <row r="124" spans="1:179" hidden="1">
      <c r="A124" s="72">
        <f t="shared" si="22"/>
        <v>5</v>
      </c>
      <c r="B124" s="825" t="s">
        <v>315</v>
      </c>
      <c r="C124" s="826"/>
      <c r="D124" s="826"/>
      <c r="E124" s="826"/>
      <c r="F124" s="826"/>
      <c r="G124" s="827"/>
      <c r="H124" s="828"/>
      <c r="I124" s="829"/>
      <c r="J124" s="829"/>
      <c r="K124" s="829"/>
      <c r="L124" s="830"/>
      <c r="M124" s="831"/>
      <c r="N124" s="831"/>
      <c r="O124" s="829"/>
      <c r="P124" s="830"/>
      <c r="Q124" s="830"/>
      <c r="R124" s="830"/>
      <c r="S124" s="829"/>
      <c r="T124" s="829"/>
      <c r="U124" s="829"/>
      <c r="V124" s="828"/>
      <c r="W124" s="828">
        <v>33415</v>
      </c>
      <c r="X124" s="828">
        <v>33415</v>
      </c>
      <c r="Y124" s="828"/>
      <c r="Z124" s="832"/>
      <c r="AA124" s="805"/>
      <c r="AB124" s="10"/>
      <c r="AC124" s="10"/>
      <c r="AD124" s="10"/>
      <c r="AE124" s="10"/>
      <c r="AF124" s="10"/>
      <c r="AG124" s="10"/>
      <c r="AH124" s="11"/>
      <c r="AJ124" s="784"/>
      <c r="AN124" s="784"/>
      <c r="AT124" s="13"/>
      <c r="AU124" s="14"/>
      <c r="AV124" s="13"/>
      <c r="AW124" s="14"/>
      <c r="FR124" s="784"/>
      <c r="FS124" s="806"/>
      <c r="FU124" s="828">
        <v>28000</v>
      </c>
    </row>
    <row r="125" spans="1:179" hidden="1">
      <c r="A125" s="72">
        <f t="shared" si="22"/>
        <v>6</v>
      </c>
      <c r="B125" s="825" t="s">
        <v>316</v>
      </c>
      <c r="C125" s="826"/>
      <c r="D125" s="826"/>
      <c r="E125" s="826"/>
      <c r="F125" s="826"/>
      <c r="G125" s="827"/>
      <c r="H125" s="828"/>
      <c r="I125" s="829"/>
      <c r="J125" s="829"/>
      <c r="K125" s="829"/>
      <c r="L125" s="830"/>
      <c r="M125" s="831"/>
      <c r="N125" s="831"/>
      <c r="O125" s="829"/>
      <c r="P125" s="830"/>
      <c r="Q125" s="830"/>
      <c r="R125" s="830"/>
      <c r="S125" s="829"/>
      <c r="T125" s="829"/>
      <c r="U125" s="829"/>
      <c r="V125" s="828"/>
      <c r="W125" s="828">
        <v>15400</v>
      </c>
      <c r="X125" s="828">
        <v>15400</v>
      </c>
      <c r="Y125" s="828">
        <v>15400</v>
      </c>
      <c r="Z125" s="832"/>
      <c r="AA125" s="805"/>
      <c r="AB125" s="10"/>
      <c r="AC125" s="10"/>
      <c r="AD125" s="10"/>
      <c r="AE125" s="10"/>
      <c r="AF125" s="10"/>
      <c r="AG125" s="10"/>
      <c r="AH125" s="11"/>
      <c r="AJ125" s="784"/>
      <c r="AN125" s="784"/>
      <c r="AT125" s="13"/>
      <c r="AU125" s="14"/>
      <c r="AV125" s="13"/>
      <c r="AW125" s="14"/>
      <c r="FR125" s="784"/>
      <c r="FS125" s="806"/>
      <c r="FU125" s="828">
        <v>15000</v>
      </c>
    </row>
    <row r="126" spans="1:179" hidden="1">
      <c r="A126" s="72">
        <f t="shared" si="22"/>
        <v>7</v>
      </c>
      <c r="B126" s="825" t="s">
        <v>317</v>
      </c>
      <c r="C126" s="826"/>
      <c r="D126" s="826"/>
      <c r="E126" s="826"/>
      <c r="F126" s="826"/>
      <c r="G126" s="827"/>
      <c r="H126" s="828"/>
      <c r="I126" s="829"/>
      <c r="J126" s="829"/>
      <c r="K126" s="829"/>
      <c r="L126" s="830"/>
      <c r="M126" s="831"/>
      <c r="N126" s="831"/>
      <c r="O126" s="829"/>
      <c r="P126" s="830"/>
      <c r="Q126" s="830"/>
      <c r="R126" s="830"/>
      <c r="S126" s="829"/>
      <c r="T126" s="829"/>
      <c r="U126" s="829"/>
      <c r="V126" s="828"/>
      <c r="W126" s="828">
        <v>13870</v>
      </c>
      <c r="X126" s="828">
        <v>13870</v>
      </c>
      <c r="Y126" s="828">
        <v>13870</v>
      </c>
      <c r="Z126" s="832"/>
      <c r="AA126" s="805"/>
      <c r="AB126" s="10"/>
      <c r="AC126" s="10"/>
      <c r="AD126" s="10"/>
      <c r="AE126" s="10"/>
      <c r="AF126" s="10"/>
      <c r="AG126" s="10"/>
      <c r="AH126" s="11"/>
      <c r="AJ126" s="784"/>
      <c r="AN126" s="784"/>
      <c r="AT126" s="13"/>
      <c r="AU126" s="14"/>
      <c r="AV126" s="13"/>
      <c r="AW126" s="14"/>
      <c r="FR126" s="784"/>
      <c r="FS126" s="806"/>
      <c r="FU126" s="828">
        <v>13000</v>
      </c>
    </row>
    <row r="127" spans="1:179" hidden="1">
      <c r="A127" s="72">
        <f t="shared" si="22"/>
        <v>8</v>
      </c>
      <c r="B127" s="825" t="s">
        <v>309</v>
      </c>
      <c r="C127" s="826"/>
      <c r="D127" s="826"/>
      <c r="E127" s="826"/>
      <c r="F127" s="826"/>
      <c r="G127" s="827"/>
      <c r="H127" s="828"/>
      <c r="I127" s="829"/>
      <c r="J127" s="829"/>
      <c r="K127" s="829"/>
      <c r="L127" s="830"/>
      <c r="M127" s="831"/>
      <c r="N127" s="831"/>
      <c r="O127" s="829"/>
      <c r="P127" s="830"/>
      <c r="Q127" s="830"/>
      <c r="R127" s="830"/>
      <c r="S127" s="829"/>
      <c r="T127" s="829"/>
      <c r="U127" s="829"/>
      <c r="V127" s="828"/>
      <c r="W127" s="828">
        <v>22000</v>
      </c>
      <c r="X127" s="828">
        <v>22000</v>
      </c>
      <c r="Y127" s="828">
        <v>22000</v>
      </c>
      <c r="Z127" s="832"/>
      <c r="AA127" s="805"/>
      <c r="AB127" s="10"/>
      <c r="AC127" s="10"/>
      <c r="AD127" s="10"/>
      <c r="AE127" s="10"/>
      <c r="AF127" s="10"/>
      <c r="AG127" s="10"/>
      <c r="AH127" s="11"/>
      <c r="AJ127" s="784"/>
      <c r="AN127" s="784"/>
      <c r="AT127" s="13"/>
      <c r="AU127" s="14"/>
      <c r="AV127" s="13"/>
      <c r="AW127" s="14"/>
      <c r="FR127" s="784"/>
      <c r="FS127" s="806"/>
      <c r="FU127" s="828">
        <v>22000</v>
      </c>
    </row>
    <row r="128" spans="1:179" hidden="1">
      <c r="A128" s="72">
        <f t="shared" si="22"/>
        <v>9</v>
      </c>
      <c r="B128" s="825" t="s">
        <v>318</v>
      </c>
      <c r="C128" s="826"/>
      <c r="D128" s="826"/>
      <c r="E128" s="826"/>
      <c r="F128" s="826"/>
      <c r="G128" s="827"/>
      <c r="H128" s="828"/>
      <c r="I128" s="829"/>
      <c r="J128" s="829"/>
      <c r="K128" s="829"/>
      <c r="L128" s="830"/>
      <c r="M128" s="831"/>
      <c r="N128" s="831"/>
      <c r="O128" s="829"/>
      <c r="P128" s="830"/>
      <c r="Q128" s="830"/>
      <c r="R128" s="830"/>
      <c r="S128" s="829"/>
      <c r="T128" s="829"/>
      <c r="U128" s="829"/>
      <c r="V128" s="828"/>
      <c r="W128" s="828">
        <v>34248</v>
      </c>
      <c r="X128" s="828">
        <v>34248</v>
      </c>
      <c r="Y128" s="828">
        <v>34248</v>
      </c>
      <c r="Z128" s="832"/>
      <c r="AA128" s="805"/>
      <c r="AB128" s="10"/>
      <c r="AC128" s="10"/>
      <c r="AD128" s="10"/>
      <c r="AE128" s="10"/>
      <c r="AF128" s="10"/>
      <c r="AG128" s="10"/>
      <c r="AH128" s="11"/>
      <c r="AJ128" s="784"/>
      <c r="AN128" s="784"/>
      <c r="AT128" s="13"/>
      <c r="AU128" s="14"/>
      <c r="AV128" s="13"/>
      <c r="AW128" s="14"/>
      <c r="FR128" s="784"/>
      <c r="FS128" s="806"/>
      <c r="FU128" s="828">
        <v>34000</v>
      </c>
    </row>
    <row r="129" spans="1:177" hidden="1">
      <c r="A129" s="72">
        <f t="shared" si="22"/>
        <v>10</v>
      </c>
      <c r="B129" s="825" t="s">
        <v>319</v>
      </c>
      <c r="C129" s="826"/>
      <c r="D129" s="826"/>
      <c r="E129" s="826"/>
      <c r="F129" s="826"/>
      <c r="G129" s="827"/>
      <c r="H129" s="828"/>
      <c r="I129" s="829"/>
      <c r="J129" s="829"/>
      <c r="K129" s="829"/>
      <c r="L129" s="830"/>
      <c r="M129" s="831"/>
      <c r="N129" s="831"/>
      <c r="O129" s="829"/>
      <c r="P129" s="830"/>
      <c r="Q129" s="830"/>
      <c r="R129" s="830"/>
      <c r="S129" s="829"/>
      <c r="T129" s="829"/>
      <c r="U129" s="829"/>
      <c r="V129" s="828"/>
      <c r="W129" s="828">
        <v>3643</v>
      </c>
      <c r="X129" s="828">
        <v>3643</v>
      </c>
      <c r="Y129" s="828">
        <v>3643</v>
      </c>
      <c r="Z129" s="832"/>
      <c r="AA129" s="805"/>
      <c r="AB129" s="10"/>
      <c r="AC129" s="10"/>
      <c r="AD129" s="10"/>
      <c r="AE129" s="10"/>
      <c r="AF129" s="10"/>
      <c r="AG129" s="10"/>
      <c r="AH129" s="11"/>
      <c r="AJ129" s="784"/>
      <c r="AN129" s="784"/>
      <c r="AT129" s="13"/>
      <c r="AU129" s="14"/>
      <c r="AV129" s="13"/>
      <c r="AW129" s="14"/>
      <c r="FR129" s="784"/>
      <c r="FS129" s="806"/>
      <c r="FU129" s="828">
        <v>3600</v>
      </c>
    </row>
    <row r="130" spans="1:177" hidden="1">
      <c r="A130" s="72">
        <f t="shared" si="22"/>
        <v>11</v>
      </c>
      <c r="B130" s="825" t="s">
        <v>299</v>
      </c>
      <c r="C130" s="826"/>
      <c r="D130" s="826"/>
      <c r="E130" s="826"/>
      <c r="F130" s="826"/>
      <c r="G130" s="827"/>
      <c r="H130" s="828"/>
      <c r="I130" s="829"/>
      <c r="J130" s="829"/>
      <c r="K130" s="829"/>
      <c r="L130" s="830"/>
      <c r="M130" s="831"/>
      <c r="N130" s="831"/>
      <c r="O130" s="829"/>
      <c r="P130" s="830"/>
      <c r="Q130" s="830"/>
      <c r="R130" s="830"/>
      <c r="S130" s="829"/>
      <c r="T130" s="829"/>
      <c r="U130" s="829"/>
      <c r="V130" s="828"/>
      <c r="W130" s="828">
        <v>29100</v>
      </c>
      <c r="X130" s="828">
        <v>29100</v>
      </c>
      <c r="Y130" s="828">
        <v>29100</v>
      </c>
      <c r="Z130" s="832"/>
      <c r="AA130" s="805"/>
      <c r="AB130" s="10"/>
      <c r="AC130" s="10"/>
      <c r="AD130" s="10"/>
      <c r="AE130" s="10"/>
      <c r="AF130" s="10"/>
      <c r="AG130" s="10"/>
      <c r="AH130" s="11"/>
      <c r="AJ130" s="784"/>
      <c r="AN130" s="784"/>
      <c r="AT130" s="13"/>
      <c r="AU130" s="14"/>
      <c r="AV130" s="13"/>
      <c r="AW130" s="14"/>
      <c r="FR130" s="784"/>
      <c r="FS130" s="806"/>
      <c r="FU130" s="828">
        <v>29000</v>
      </c>
    </row>
    <row r="131" spans="1:177" hidden="1">
      <c r="A131" s="72">
        <f t="shared" si="22"/>
        <v>12</v>
      </c>
      <c r="B131" s="825" t="s">
        <v>320</v>
      </c>
      <c r="C131" s="826"/>
      <c r="D131" s="826"/>
      <c r="E131" s="826"/>
      <c r="F131" s="826"/>
      <c r="G131" s="827"/>
      <c r="H131" s="828"/>
      <c r="I131" s="829"/>
      <c r="J131" s="829"/>
      <c r="K131" s="829"/>
      <c r="L131" s="830"/>
      <c r="M131" s="831"/>
      <c r="N131" s="831"/>
      <c r="O131" s="829"/>
      <c r="P131" s="830"/>
      <c r="Q131" s="830"/>
      <c r="R131" s="830"/>
      <c r="S131" s="829"/>
      <c r="T131" s="829"/>
      <c r="U131" s="829"/>
      <c r="V131" s="828"/>
      <c r="W131" s="828">
        <v>33012.200000000012</v>
      </c>
      <c r="X131" s="828">
        <v>33012.200000000012</v>
      </c>
      <c r="Y131" s="828">
        <v>33012.200000000012</v>
      </c>
      <c r="Z131" s="832"/>
      <c r="AA131" s="805"/>
      <c r="AB131" s="10"/>
      <c r="AC131" s="10"/>
      <c r="AD131" s="10"/>
      <c r="AE131" s="10"/>
      <c r="AF131" s="10"/>
      <c r="AG131" s="10"/>
      <c r="AH131" s="11"/>
      <c r="AJ131" s="784"/>
      <c r="AN131" s="784"/>
      <c r="AT131" s="13"/>
      <c r="AU131" s="14"/>
      <c r="AV131" s="13"/>
      <c r="AW131" s="14"/>
      <c r="FR131" s="784"/>
      <c r="FS131" s="806"/>
      <c r="FU131" s="453">
        <v>33000</v>
      </c>
    </row>
    <row r="132" spans="1:177" hidden="1">
      <c r="A132" s="72">
        <f t="shared" si="22"/>
        <v>13</v>
      </c>
      <c r="B132" s="825" t="s">
        <v>302</v>
      </c>
      <c r="C132" s="826"/>
      <c r="D132" s="826"/>
      <c r="E132" s="826"/>
      <c r="F132" s="826"/>
      <c r="G132" s="827"/>
      <c r="H132" s="828"/>
      <c r="I132" s="829"/>
      <c r="J132" s="829"/>
      <c r="K132" s="829"/>
      <c r="L132" s="830"/>
      <c r="M132" s="831"/>
      <c r="N132" s="831"/>
      <c r="O132" s="829"/>
      <c r="P132" s="830"/>
      <c r="Q132" s="830"/>
      <c r="R132" s="830"/>
      <c r="S132" s="829"/>
      <c r="T132" s="829"/>
      <c r="U132" s="829"/>
      <c r="V132" s="828"/>
      <c r="W132" s="828">
        <v>20625</v>
      </c>
      <c r="X132" s="828">
        <v>20625</v>
      </c>
      <c r="Y132" s="828">
        <v>20625</v>
      </c>
      <c r="Z132" s="832"/>
      <c r="AA132" s="805"/>
      <c r="AB132" s="10"/>
      <c r="AC132" s="10"/>
      <c r="AD132" s="10"/>
      <c r="AE132" s="10"/>
      <c r="AF132" s="10"/>
      <c r="AG132" s="10"/>
      <c r="AH132" s="11"/>
      <c r="AJ132" s="784"/>
      <c r="AN132" s="784"/>
      <c r="AT132" s="13"/>
      <c r="AU132" s="14"/>
      <c r="AV132" s="13"/>
      <c r="AW132" s="14"/>
      <c r="FR132" s="784"/>
      <c r="FS132" s="806"/>
      <c r="FU132" s="453">
        <v>20000</v>
      </c>
    </row>
    <row r="133" spans="1:177" hidden="1">
      <c r="A133" s="72">
        <f t="shared" si="22"/>
        <v>14</v>
      </c>
      <c r="B133" s="825" t="s">
        <v>301</v>
      </c>
      <c r="C133" s="826"/>
      <c r="D133" s="826"/>
      <c r="E133" s="826"/>
      <c r="F133" s="826"/>
      <c r="G133" s="827"/>
      <c r="H133" s="828"/>
      <c r="I133" s="829"/>
      <c r="J133" s="829"/>
      <c r="K133" s="829"/>
      <c r="L133" s="830"/>
      <c r="M133" s="831"/>
      <c r="N133" s="831"/>
      <c r="O133" s="829"/>
      <c r="P133" s="830"/>
      <c r="Q133" s="830"/>
      <c r="R133" s="830"/>
      <c r="S133" s="829"/>
      <c r="T133" s="829"/>
      <c r="U133" s="829"/>
      <c r="V133" s="828"/>
      <c r="W133" s="828">
        <v>16218</v>
      </c>
      <c r="X133" s="828">
        <v>16218</v>
      </c>
      <c r="Y133" s="828">
        <v>16218</v>
      </c>
      <c r="Z133" s="832"/>
      <c r="AA133" s="805"/>
      <c r="AB133" s="10"/>
      <c r="AC133" s="10"/>
      <c r="AD133" s="10"/>
      <c r="AE133" s="10"/>
      <c r="AF133" s="10"/>
      <c r="AG133" s="10"/>
      <c r="AH133" s="11"/>
      <c r="AJ133" s="784"/>
      <c r="AN133" s="784"/>
      <c r="AT133" s="13"/>
      <c r="AU133" s="14"/>
      <c r="AV133" s="13"/>
      <c r="AW133" s="14"/>
      <c r="FR133" s="784"/>
      <c r="FS133" s="806"/>
      <c r="FU133" s="453">
        <v>16000</v>
      </c>
    </row>
    <row r="134" spans="1:177" hidden="1">
      <c r="A134" s="72">
        <f t="shared" si="22"/>
        <v>15</v>
      </c>
      <c r="B134" s="825" t="s">
        <v>298</v>
      </c>
      <c r="C134" s="826"/>
      <c r="D134" s="826"/>
      <c r="E134" s="826"/>
      <c r="F134" s="826"/>
      <c r="G134" s="827"/>
      <c r="H134" s="828"/>
      <c r="I134" s="829"/>
      <c r="J134" s="829"/>
      <c r="K134" s="829"/>
      <c r="L134" s="830"/>
      <c r="M134" s="831"/>
      <c r="N134" s="831"/>
      <c r="O134" s="829"/>
      <c r="P134" s="830"/>
      <c r="Q134" s="830"/>
      <c r="R134" s="830"/>
      <c r="S134" s="829"/>
      <c r="T134" s="829"/>
      <c r="U134" s="829"/>
      <c r="V134" s="828"/>
      <c r="W134" s="828">
        <v>1135</v>
      </c>
      <c r="X134" s="828">
        <v>1135</v>
      </c>
      <c r="Y134" s="828">
        <v>1135</v>
      </c>
      <c r="Z134" s="832"/>
      <c r="AA134" s="805"/>
      <c r="AB134" s="10"/>
      <c r="AC134" s="10"/>
      <c r="AD134" s="10"/>
      <c r="AE134" s="10"/>
      <c r="AF134" s="10"/>
      <c r="AG134" s="10"/>
      <c r="AH134" s="11"/>
      <c r="AJ134" s="784"/>
      <c r="AN134" s="784"/>
      <c r="AT134" s="13"/>
      <c r="AU134" s="14"/>
      <c r="AV134" s="13"/>
      <c r="AW134" s="14"/>
      <c r="FR134" s="784"/>
      <c r="FS134" s="806"/>
      <c r="FU134" s="828">
        <v>1100</v>
      </c>
    </row>
    <row r="135" spans="1:177" hidden="1">
      <c r="A135" s="72">
        <f t="shared" si="22"/>
        <v>16</v>
      </c>
      <c r="B135" s="825" t="s">
        <v>292</v>
      </c>
      <c r="C135" s="826"/>
      <c r="D135" s="826"/>
      <c r="E135" s="826"/>
      <c r="F135" s="826"/>
      <c r="G135" s="827"/>
      <c r="H135" s="828"/>
      <c r="I135" s="829"/>
      <c r="J135" s="829"/>
      <c r="K135" s="829"/>
      <c r="L135" s="830"/>
      <c r="M135" s="831"/>
      <c r="N135" s="831"/>
      <c r="O135" s="829"/>
      <c r="P135" s="830"/>
      <c r="Q135" s="830"/>
      <c r="R135" s="830"/>
      <c r="S135" s="829"/>
      <c r="T135" s="829"/>
      <c r="U135" s="829"/>
      <c r="V135" s="828"/>
      <c r="W135" s="828">
        <v>8512</v>
      </c>
      <c r="X135" s="828">
        <v>8512</v>
      </c>
      <c r="Y135" s="828">
        <v>8512</v>
      </c>
      <c r="Z135" s="832"/>
      <c r="AA135" s="805"/>
      <c r="AB135" s="10"/>
      <c r="AC135" s="10"/>
      <c r="AD135" s="10"/>
      <c r="AE135" s="10"/>
      <c r="AF135" s="10"/>
      <c r="AG135" s="10"/>
      <c r="AH135" s="11"/>
      <c r="AJ135" s="784"/>
      <c r="AN135" s="784"/>
      <c r="AT135" s="13"/>
      <c r="AU135" s="14"/>
      <c r="AV135" s="13"/>
      <c r="AW135" s="14"/>
      <c r="FR135" s="784"/>
      <c r="FS135" s="806"/>
      <c r="FU135" s="828">
        <v>8500</v>
      </c>
    </row>
    <row r="136" spans="1:177" hidden="1">
      <c r="A136" s="72">
        <f t="shared" si="22"/>
        <v>17</v>
      </c>
      <c r="B136" s="833" t="s">
        <v>321</v>
      </c>
      <c r="C136" s="834"/>
      <c r="D136" s="834"/>
      <c r="E136" s="834"/>
      <c r="F136" s="834"/>
      <c r="G136" s="835"/>
      <c r="H136" s="836"/>
      <c r="I136" s="837"/>
      <c r="J136" s="837"/>
      <c r="K136" s="837"/>
      <c r="L136" s="838"/>
      <c r="M136" s="839"/>
      <c r="N136" s="839"/>
      <c r="O136" s="837"/>
      <c r="P136" s="838"/>
      <c r="Q136" s="838"/>
      <c r="R136" s="838"/>
      <c r="S136" s="837"/>
      <c r="T136" s="837"/>
      <c r="U136" s="837"/>
      <c r="V136" s="836"/>
      <c r="W136" s="836">
        <v>4443.3999999999996</v>
      </c>
      <c r="X136" s="836">
        <v>4443.3999999999996</v>
      </c>
      <c r="Y136" s="836">
        <v>4443.3999999999996</v>
      </c>
      <c r="Z136" s="840"/>
      <c r="AA136" s="805"/>
      <c r="AB136" s="10"/>
      <c r="AC136" s="10"/>
      <c r="AD136" s="10"/>
      <c r="AE136" s="10"/>
      <c r="AF136" s="10"/>
      <c r="AG136" s="10"/>
      <c r="AH136" s="11"/>
      <c r="AJ136" s="784"/>
      <c r="AN136" s="784"/>
      <c r="AT136" s="13"/>
      <c r="AU136" s="14"/>
      <c r="AV136" s="13"/>
      <c r="AW136" s="14"/>
      <c r="FR136" s="784"/>
      <c r="FS136" s="806"/>
      <c r="FU136" s="836">
        <v>4400</v>
      </c>
    </row>
    <row r="137" spans="1:177" ht="15" customHeight="1">
      <c r="B137" s="841"/>
    </row>
  </sheetData>
  <autoFilter ref="A8:FT136"/>
  <mergeCells count="34">
    <mergeCell ref="AH7:AJ7"/>
    <mergeCell ref="X6:X8"/>
    <mergeCell ref="AA6:AA8"/>
    <mergeCell ref="P7:R7"/>
    <mergeCell ref="S7:S8"/>
    <mergeCell ref="T7:U7"/>
    <mergeCell ref="M6:R6"/>
    <mergeCell ref="S6:U6"/>
    <mergeCell ref="V6:V8"/>
    <mergeCell ref="W6:W8"/>
    <mergeCell ref="FT6:FT8"/>
    <mergeCell ref="A1:AA1"/>
    <mergeCell ref="A2:Z2"/>
    <mergeCell ref="A3:Z3"/>
    <mergeCell ref="C5:AA5"/>
    <mergeCell ref="A6:A8"/>
    <mergeCell ref="B6:B8"/>
    <mergeCell ref="C6:C8"/>
    <mergeCell ref="D6:D8"/>
    <mergeCell ref="E6:E8"/>
    <mergeCell ref="Z6:Z8"/>
    <mergeCell ref="F6:F8"/>
    <mergeCell ref="G6:G8"/>
    <mergeCell ref="N7:N8"/>
    <mergeCell ref="O7:O8"/>
    <mergeCell ref="L6:L8"/>
    <mergeCell ref="A4:Z4"/>
    <mergeCell ref="H6:I6"/>
    <mergeCell ref="J6:J8"/>
    <mergeCell ref="K6:K8"/>
    <mergeCell ref="Y6:Y8"/>
    <mergeCell ref="I7:I8"/>
    <mergeCell ref="M7:M8"/>
    <mergeCell ref="H7:H8"/>
  </mergeCells>
  <printOptions horizontalCentered="1"/>
  <pageMargins left="0.19685039370078741" right="0.19685039370078741" top="0.47244094488188981" bottom="0.31496062992125984" header="0.31496062992125984" footer="0.35433070866141736"/>
  <pageSetup paperSize="9" scale="70" orientation="landscape" r:id="rId1"/>
  <headerFooter>
    <oddHeader>&amp;C&amp;"Times New Roman,Thường"&amp;P</oddHeader>
    <oddFooter>&amp;R&amp;P/&amp;N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zoomScale="85" zoomScaleNormal="85" workbookViewId="0">
      <selection activeCell="E33" sqref="E33"/>
    </sheetView>
  </sheetViews>
  <sheetFormatPr defaultRowHeight="14.4" outlineLevelCol="1"/>
  <cols>
    <col min="1" max="1" width="5" style="230" customWidth="1"/>
    <col min="2" max="2" width="53.5546875" style="231" customWidth="1"/>
    <col min="3" max="3" width="15.33203125" style="171" customWidth="1"/>
    <col min="4" max="4" width="6.6640625" hidden="1" customWidth="1"/>
    <col min="5" max="5" width="8.88671875" customWidth="1"/>
    <col min="6" max="6" width="10.44140625" style="232" customWidth="1"/>
    <col min="7" max="7" width="13.44140625" style="17" hidden="1" customWidth="1" outlineLevel="1"/>
    <col min="8" max="8" width="19.44140625" hidden="1" customWidth="1" outlineLevel="1"/>
    <col min="9" max="9" width="11.6640625" customWidth="1" collapsed="1"/>
    <col min="10" max="10" width="11.33203125" customWidth="1"/>
    <col min="11" max="11" width="13" customWidth="1"/>
    <col min="12" max="12" width="11.33203125" bestFit="1" customWidth="1"/>
    <col min="13" max="13" width="12.44140625" bestFit="1" customWidth="1"/>
    <col min="14" max="14" width="9.5546875" hidden="1" customWidth="1"/>
    <col min="15" max="15" width="9.6640625" hidden="1" customWidth="1"/>
    <col min="16" max="16" width="11.109375" hidden="1" customWidth="1"/>
    <col min="17" max="18" width="12.44140625" hidden="1" customWidth="1"/>
    <col min="19" max="21" width="13.44140625" hidden="1" customWidth="1"/>
    <col min="22" max="22" width="19.109375" customWidth="1"/>
    <col min="23" max="23" width="26.109375" customWidth="1"/>
    <col min="24" max="24" width="13.33203125" hidden="1" customWidth="1" outlineLevel="1"/>
    <col min="25" max="25" width="5.33203125" hidden="1" customWidth="1" outlineLevel="1"/>
    <col min="26" max="27" width="4.88671875" hidden="1" customWidth="1" outlineLevel="1"/>
    <col min="28" max="32" width="12.33203125" hidden="1" customWidth="1" outlineLevel="1"/>
    <col min="33" max="33" width="9.109375" customWidth="1" collapsed="1"/>
    <col min="34" max="34" width="14.109375" customWidth="1"/>
    <col min="35" max="35" width="10.5546875" bestFit="1" customWidth="1"/>
    <col min="260" max="260" width="5.44140625" customWidth="1"/>
    <col min="261" max="261" width="28.88671875" customWidth="1"/>
    <col min="262" max="262" width="15.33203125" customWidth="1"/>
    <col min="263" max="263" width="6.6640625" customWidth="1"/>
    <col min="264" max="264" width="7.33203125" customWidth="1"/>
    <col min="265" max="265" width="10.44140625" customWidth="1"/>
    <col min="266" max="266" width="13.44140625" customWidth="1"/>
    <col min="267" max="267" width="19.44140625" customWidth="1"/>
    <col min="268" max="268" width="7.109375" customWidth="1"/>
    <col min="269" max="269" width="0" hidden="1" customWidth="1"/>
    <col min="270" max="270" width="13" customWidth="1"/>
    <col min="271" max="271" width="11.33203125" bestFit="1" customWidth="1"/>
    <col min="272" max="272" width="12.44140625" bestFit="1" customWidth="1"/>
    <col min="273" max="277" width="0" hidden="1" customWidth="1"/>
    <col min="278" max="278" width="13.44140625" customWidth="1"/>
    <col min="279" max="279" width="10.88671875" customWidth="1"/>
    <col min="280" max="288" width="0" hidden="1" customWidth="1"/>
    <col min="516" max="516" width="5.44140625" customWidth="1"/>
    <col min="517" max="517" width="28.88671875" customWidth="1"/>
    <col min="518" max="518" width="15.33203125" customWidth="1"/>
    <col min="519" max="519" width="6.6640625" customWidth="1"/>
    <col min="520" max="520" width="7.33203125" customWidth="1"/>
    <col min="521" max="521" width="10.44140625" customWidth="1"/>
    <col min="522" max="522" width="13.44140625" customWidth="1"/>
    <col min="523" max="523" width="19.44140625" customWidth="1"/>
    <col min="524" max="524" width="7.109375" customWidth="1"/>
    <col min="525" max="525" width="0" hidden="1" customWidth="1"/>
    <col min="526" max="526" width="13" customWidth="1"/>
    <col min="527" max="527" width="11.33203125" bestFit="1" customWidth="1"/>
    <col min="528" max="528" width="12.44140625" bestFit="1" customWidth="1"/>
    <col min="529" max="533" width="0" hidden="1" customWidth="1"/>
    <col min="534" max="534" width="13.44140625" customWidth="1"/>
    <col min="535" max="535" width="10.88671875" customWidth="1"/>
    <col min="536" max="544" width="0" hidden="1" customWidth="1"/>
    <col min="772" max="772" width="5.44140625" customWidth="1"/>
    <col min="773" max="773" width="28.88671875" customWidth="1"/>
    <col min="774" max="774" width="15.33203125" customWidth="1"/>
    <col min="775" max="775" width="6.6640625" customWidth="1"/>
    <col min="776" max="776" width="7.33203125" customWidth="1"/>
    <col min="777" max="777" width="10.44140625" customWidth="1"/>
    <col min="778" max="778" width="13.44140625" customWidth="1"/>
    <col min="779" max="779" width="19.44140625" customWidth="1"/>
    <col min="780" max="780" width="7.109375" customWidth="1"/>
    <col min="781" max="781" width="0" hidden="1" customWidth="1"/>
    <col min="782" max="782" width="13" customWidth="1"/>
    <col min="783" max="783" width="11.33203125" bestFit="1" customWidth="1"/>
    <col min="784" max="784" width="12.44140625" bestFit="1" customWidth="1"/>
    <col min="785" max="789" width="0" hidden="1" customWidth="1"/>
    <col min="790" max="790" width="13.44140625" customWidth="1"/>
    <col min="791" max="791" width="10.88671875" customWidth="1"/>
    <col min="792" max="800" width="0" hidden="1" customWidth="1"/>
    <col min="1028" max="1028" width="5.44140625" customWidth="1"/>
    <col min="1029" max="1029" width="28.88671875" customWidth="1"/>
    <col min="1030" max="1030" width="15.33203125" customWidth="1"/>
    <col min="1031" max="1031" width="6.6640625" customWidth="1"/>
    <col min="1032" max="1032" width="7.33203125" customWidth="1"/>
    <col min="1033" max="1033" width="10.44140625" customWidth="1"/>
    <col min="1034" max="1034" width="13.44140625" customWidth="1"/>
    <col min="1035" max="1035" width="19.44140625" customWidth="1"/>
    <col min="1036" max="1036" width="7.109375" customWidth="1"/>
    <col min="1037" max="1037" width="0" hidden="1" customWidth="1"/>
    <col min="1038" max="1038" width="13" customWidth="1"/>
    <col min="1039" max="1039" width="11.33203125" bestFit="1" customWidth="1"/>
    <col min="1040" max="1040" width="12.44140625" bestFit="1" customWidth="1"/>
    <col min="1041" max="1045" width="0" hidden="1" customWidth="1"/>
    <col min="1046" max="1046" width="13.44140625" customWidth="1"/>
    <col min="1047" max="1047" width="10.88671875" customWidth="1"/>
    <col min="1048" max="1056" width="0" hidden="1" customWidth="1"/>
    <col min="1284" max="1284" width="5.44140625" customWidth="1"/>
    <col min="1285" max="1285" width="28.88671875" customWidth="1"/>
    <col min="1286" max="1286" width="15.33203125" customWidth="1"/>
    <col min="1287" max="1287" width="6.6640625" customWidth="1"/>
    <col min="1288" max="1288" width="7.33203125" customWidth="1"/>
    <col min="1289" max="1289" width="10.44140625" customWidth="1"/>
    <col min="1290" max="1290" width="13.44140625" customWidth="1"/>
    <col min="1291" max="1291" width="19.44140625" customWidth="1"/>
    <col min="1292" max="1292" width="7.109375" customWidth="1"/>
    <col min="1293" max="1293" width="0" hidden="1" customWidth="1"/>
    <col min="1294" max="1294" width="13" customWidth="1"/>
    <col min="1295" max="1295" width="11.33203125" bestFit="1" customWidth="1"/>
    <col min="1296" max="1296" width="12.44140625" bestFit="1" customWidth="1"/>
    <col min="1297" max="1301" width="0" hidden="1" customWidth="1"/>
    <col min="1302" max="1302" width="13.44140625" customWidth="1"/>
    <col min="1303" max="1303" width="10.88671875" customWidth="1"/>
    <col min="1304" max="1312" width="0" hidden="1" customWidth="1"/>
    <col min="1540" max="1540" width="5.44140625" customWidth="1"/>
    <col min="1541" max="1541" width="28.88671875" customWidth="1"/>
    <col min="1542" max="1542" width="15.33203125" customWidth="1"/>
    <col min="1543" max="1543" width="6.6640625" customWidth="1"/>
    <col min="1544" max="1544" width="7.33203125" customWidth="1"/>
    <col min="1545" max="1545" width="10.44140625" customWidth="1"/>
    <col min="1546" max="1546" width="13.44140625" customWidth="1"/>
    <col min="1547" max="1547" width="19.44140625" customWidth="1"/>
    <col min="1548" max="1548" width="7.109375" customWidth="1"/>
    <col min="1549" max="1549" width="0" hidden="1" customWidth="1"/>
    <col min="1550" max="1550" width="13" customWidth="1"/>
    <col min="1551" max="1551" width="11.33203125" bestFit="1" customWidth="1"/>
    <col min="1552" max="1552" width="12.44140625" bestFit="1" customWidth="1"/>
    <col min="1553" max="1557" width="0" hidden="1" customWidth="1"/>
    <col min="1558" max="1558" width="13.44140625" customWidth="1"/>
    <col min="1559" max="1559" width="10.88671875" customWidth="1"/>
    <col min="1560" max="1568" width="0" hidden="1" customWidth="1"/>
    <col min="1796" max="1796" width="5.44140625" customWidth="1"/>
    <col min="1797" max="1797" width="28.88671875" customWidth="1"/>
    <col min="1798" max="1798" width="15.33203125" customWidth="1"/>
    <col min="1799" max="1799" width="6.6640625" customWidth="1"/>
    <col min="1800" max="1800" width="7.33203125" customWidth="1"/>
    <col min="1801" max="1801" width="10.44140625" customWidth="1"/>
    <col min="1802" max="1802" width="13.44140625" customWidth="1"/>
    <col min="1803" max="1803" width="19.44140625" customWidth="1"/>
    <col min="1804" max="1804" width="7.109375" customWidth="1"/>
    <col min="1805" max="1805" width="0" hidden="1" customWidth="1"/>
    <col min="1806" max="1806" width="13" customWidth="1"/>
    <col min="1807" max="1807" width="11.33203125" bestFit="1" customWidth="1"/>
    <col min="1808" max="1808" width="12.44140625" bestFit="1" customWidth="1"/>
    <col min="1809" max="1813" width="0" hidden="1" customWidth="1"/>
    <col min="1814" max="1814" width="13.44140625" customWidth="1"/>
    <col min="1815" max="1815" width="10.88671875" customWidth="1"/>
    <col min="1816" max="1824" width="0" hidden="1" customWidth="1"/>
    <col min="2052" max="2052" width="5.44140625" customWidth="1"/>
    <col min="2053" max="2053" width="28.88671875" customWidth="1"/>
    <col min="2054" max="2054" width="15.33203125" customWidth="1"/>
    <col min="2055" max="2055" width="6.6640625" customWidth="1"/>
    <col min="2056" max="2056" width="7.33203125" customWidth="1"/>
    <col min="2057" max="2057" width="10.44140625" customWidth="1"/>
    <col min="2058" max="2058" width="13.44140625" customWidth="1"/>
    <col min="2059" max="2059" width="19.44140625" customWidth="1"/>
    <col min="2060" max="2060" width="7.109375" customWidth="1"/>
    <col min="2061" max="2061" width="0" hidden="1" customWidth="1"/>
    <col min="2062" max="2062" width="13" customWidth="1"/>
    <col min="2063" max="2063" width="11.33203125" bestFit="1" customWidth="1"/>
    <col min="2064" max="2064" width="12.44140625" bestFit="1" customWidth="1"/>
    <col min="2065" max="2069" width="0" hidden="1" customWidth="1"/>
    <col min="2070" max="2070" width="13.44140625" customWidth="1"/>
    <col min="2071" max="2071" width="10.88671875" customWidth="1"/>
    <col min="2072" max="2080" width="0" hidden="1" customWidth="1"/>
    <col min="2308" max="2308" width="5.44140625" customWidth="1"/>
    <col min="2309" max="2309" width="28.88671875" customWidth="1"/>
    <col min="2310" max="2310" width="15.33203125" customWidth="1"/>
    <col min="2311" max="2311" width="6.6640625" customWidth="1"/>
    <col min="2312" max="2312" width="7.33203125" customWidth="1"/>
    <col min="2313" max="2313" width="10.44140625" customWidth="1"/>
    <col min="2314" max="2314" width="13.44140625" customWidth="1"/>
    <col min="2315" max="2315" width="19.44140625" customWidth="1"/>
    <col min="2316" max="2316" width="7.109375" customWidth="1"/>
    <col min="2317" max="2317" width="0" hidden="1" customWidth="1"/>
    <col min="2318" max="2318" width="13" customWidth="1"/>
    <col min="2319" max="2319" width="11.33203125" bestFit="1" customWidth="1"/>
    <col min="2320" max="2320" width="12.44140625" bestFit="1" customWidth="1"/>
    <col min="2321" max="2325" width="0" hidden="1" customWidth="1"/>
    <col min="2326" max="2326" width="13.44140625" customWidth="1"/>
    <col min="2327" max="2327" width="10.88671875" customWidth="1"/>
    <col min="2328" max="2336" width="0" hidden="1" customWidth="1"/>
    <col min="2564" max="2564" width="5.44140625" customWidth="1"/>
    <col min="2565" max="2565" width="28.88671875" customWidth="1"/>
    <col min="2566" max="2566" width="15.33203125" customWidth="1"/>
    <col min="2567" max="2567" width="6.6640625" customWidth="1"/>
    <col min="2568" max="2568" width="7.33203125" customWidth="1"/>
    <col min="2569" max="2569" width="10.44140625" customWidth="1"/>
    <col min="2570" max="2570" width="13.44140625" customWidth="1"/>
    <col min="2571" max="2571" width="19.44140625" customWidth="1"/>
    <col min="2572" max="2572" width="7.109375" customWidth="1"/>
    <col min="2573" max="2573" width="0" hidden="1" customWidth="1"/>
    <col min="2574" max="2574" width="13" customWidth="1"/>
    <col min="2575" max="2575" width="11.33203125" bestFit="1" customWidth="1"/>
    <col min="2576" max="2576" width="12.44140625" bestFit="1" customWidth="1"/>
    <col min="2577" max="2581" width="0" hidden="1" customWidth="1"/>
    <col min="2582" max="2582" width="13.44140625" customWidth="1"/>
    <col min="2583" max="2583" width="10.88671875" customWidth="1"/>
    <col min="2584" max="2592" width="0" hidden="1" customWidth="1"/>
    <col min="2820" max="2820" width="5.44140625" customWidth="1"/>
    <col min="2821" max="2821" width="28.88671875" customWidth="1"/>
    <col min="2822" max="2822" width="15.33203125" customWidth="1"/>
    <col min="2823" max="2823" width="6.6640625" customWidth="1"/>
    <col min="2824" max="2824" width="7.33203125" customWidth="1"/>
    <col min="2825" max="2825" width="10.44140625" customWidth="1"/>
    <col min="2826" max="2826" width="13.44140625" customWidth="1"/>
    <col min="2827" max="2827" width="19.44140625" customWidth="1"/>
    <col min="2828" max="2828" width="7.109375" customWidth="1"/>
    <col min="2829" max="2829" width="0" hidden="1" customWidth="1"/>
    <col min="2830" max="2830" width="13" customWidth="1"/>
    <col min="2831" max="2831" width="11.33203125" bestFit="1" customWidth="1"/>
    <col min="2832" max="2832" width="12.44140625" bestFit="1" customWidth="1"/>
    <col min="2833" max="2837" width="0" hidden="1" customWidth="1"/>
    <col min="2838" max="2838" width="13.44140625" customWidth="1"/>
    <col min="2839" max="2839" width="10.88671875" customWidth="1"/>
    <col min="2840" max="2848" width="0" hidden="1" customWidth="1"/>
    <col min="3076" max="3076" width="5.44140625" customWidth="1"/>
    <col min="3077" max="3077" width="28.88671875" customWidth="1"/>
    <col min="3078" max="3078" width="15.33203125" customWidth="1"/>
    <col min="3079" max="3079" width="6.6640625" customWidth="1"/>
    <col min="3080" max="3080" width="7.33203125" customWidth="1"/>
    <col min="3081" max="3081" width="10.44140625" customWidth="1"/>
    <col min="3082" max="3082" width="13.44140625" customWidth="1"/>
    <col min="3083" max="3083" width="19.44140625" customWidth="1"/>
    <col min="3084" max="3084" width="7.109375" customWidth="1"/>
    <col min="3085" max="3085" width="0" hidden="1" customWidth="1"/>
    <col min="3086" max="3086" width="13" customWidth="1"/>
    <col min="3087" max="3087" width="11.33203125" bestFit="1" customWidth="1"/>
    <col min="3088" max="3088" width="12.44140625" bestFit="1" customWidth="1"/>
    <col min="3089" max="3093" width="0" hidden="1" customWidth="1"/>
    <col min="3094" max="3094" width="13.44140625" customWidth="1"/>
    <col min="3095" max="3095" width="10.88671875" customWidth="1"/>
    <col min="3096" max="3104" width="0" hidden="1" customWidth="1"/>
    <col min="3332" max="3332" width="5.44140625" customWidth="1"/>
    <col min="3333" max="3333" width="28.88671875" customWidth="1"/>
    <col min="3334" max="3334" width="15.33203125" customWidth="1"/>
    <col min="3335" max="3335" width="6.6640625" customWidth="1"/>
    <col min="3336" max="3336" width="7.33203125" customWidth="1"/>
    <col min="3337" max="3337" width="10.44140625" customWidth="1"/>
    <col min="3338" max="3338" width="13.44140625" customWidth="1"/>
    <col min="3339" max="3339" width="19.44140625" customWidth="1"/>
    <col min="3340" max="3340" width="7.109375" customWidth="1"/>
    <col min="3341" max="3341" width="0" hidden="1" customWidth="1"/>
    <col min="3342" max="3342" width="13" customWidth="1"/>
    <col min="3343" max="3343" width="11.33203125" bestFit="1" customWidth="1"/>
    <col min="3344" max="3344" width="12.44140625" bestFit="1" customWidth="1"/>
    <col min="3345" max="3349" width="0" hidden="1" customWidth="1"/>
    <col min="3350" max="3350" width="13.44140625" customWidth="1"/>
    <col min="3351" max="3351" width="10.88671875" customWidth="1"/>
    <col min="3352" max="3360" width="0" hidden="1" customWidth="1"/>
    <col min="3588" max="3588" width="5.44140625" customWidth="1"/>
    <col min="3589" max="3589" width="28.88671875" customWidth="1"/>
    <col min="3590" max="3590" width="15.33203125" customWidth="1"/>
    <col min="3591" max="3591" width="6.6640625" customWidth="1"/>
    <col min="3592" max="3592" width="7.33203125" customWidth="1"/>
    <col min="3593" max="3593" width="10.44140625" customWidth="1"/>
    <col min="3594" max="3594" width="13.44140625" customWidth="1"/>
    <col min="3595" max="3595" width="19.44140625" customWidth="1"/>
    <col min="3596" max="3596" width="7.109375" customWidth="1"/>
    <col min="3597" max="3597" width="0" hidden="1" customWidth="1"/>
    <col min="3598" max="3598" width="13" customWidth="1"/>
    <col min="3599" max="3599" width="11.33203125" bestFit="1" customWidth="1"/>
    <col min="3600" max="3600" width="12.44140625" bestFit="1" customWidth="1"/>
    <col min="3601" max="3605" width="0" hidden="1" customWidth="1"/>
    <col min="3606" max="3606" width="13.44140625" customWidth="1"/>
    <col min="3607" max="3607" width="10.88671875" customWidth="1"/>
    <col min="3608" max="3616" width="0" hidden="1" customWidth="1"/>
    <col min="3844" max="3844" width="5.44140625" customWidth="1"/>
    <col min="3845" max="3845" width="28.88671875" customWidth="1"/>
    <col min="3846" max="3846" width="15.33203125" customWidth="1"/>
    <col min="3847" max="3847" width="6.6640625" customWidth="1"/>
    <col min="3848" max="3848" width="7.33203125" customWidth="1"/>
    <col min="3849" max="3849" width="10.44140625" customWidth="1"/>
    <col min="3850" max="3850" width="13.44140625" customWidth="1"/>
    <col min="3851" max="3851" width="19.44140625" customWidth="1"/>
    <col min="3852" max="3852" width="7.109375" customWidth="1"/>
    <col min="3853" max="3853" width="0" hidden="1" customWidth="1"/>
    <col min="3854" max="3854" width="13" customWidth="1"/>
    <col min="3855" max="3855" width="11.33203125" bestFit="1" customWidth="1"/>
    <col min="3856" max="3856" width="12.44140625" bestFit="1" customWidth="1"/>
    <col min="3857" max="3861" width="0" hidden="1" customWidth="1"/>
    <col min="3862" max="3862" width="13.44140625" customWidth="1"/>
    <col min="3863" max="3863" width="10.88671875" customWidth="1"/>
    <col min="3864" max="3872" width="0" hidden="1" customWidth="1"/>
    <col min="4100" max="4100" width="5.44140625" customWidth="1"/>
    <col min="4101" max="4101" width="28.88671875" customWidth="1"/>
    <col min="4102" max="4102" width="15.33203125" customWidth="1"/>
    <col min="4103" max="4103" width="6.6640625" customWidth="1"/>
    <col min="4104" max="4104" width="7.33203125" customWidth="1"/>
    <col min="4105" max="4105" width="10.44140625" customWidth="1"/>
    <col min="4106" max="4106" width="13.44140625" customWidth="1"/>
    <col min="4107" max="4107" width="19.44140625" customWidth="1"/>
    <col min="4108" max="4108" width="7.109375" customWidth="1"/>
    <col min="4109" max="4109" width="0" hidden="1" customWidth="1"/>
    <col min="4110" max="4110" width="13" customWidth="1"/>
    <col min="4111" max="4111" width="11.33203125" bestFit="1" customWidth="1"/>
    <col min="4112" max="4112" width="12.44140625" bestFit="1" customWidth="1"/>
    <col min="4113" max="4117" width="0" hidden="1" customWidth="1"/>
    <col min="4118" max="4118" width="13.44140625" customWidth="1"/>
    <col min="4119" max="4119" width="10.88671875" customWidth="1"/>
    <col min="4120" max="4128" width="0" hidden="1" customWidth="1"/>
    <col min="4356" max="4356" width="5.44140625" customWidth="1"/>
    <col min="4357" max="4357" width="28.88671875" customWidth="1"/>
    <col min="4358" max="4358" width="15.33203125" customWidth="1"/>
    <col min="4359" max="4359" width="6.6640625" customWidth="1"/>
    <col min="4360" max="4360" width="7.33203125" customWidth="1"/>
    <col min="4361" max="4361" width="10.44140625" customWidth="1"/>
    <col min="4362" max="4362" width="13.44140625" customWidth="1"/>
    <col min="4363" max="4363" width="19.44140625" customWidth="1"/>
    <col min="4364" max="4364" width="7.109375" customWidth="1"/>
    <col min="4365" max="4365" width="0" hidden="1" customWidth="1"/>
    <col min="4366" max="4366" width="13" customWidth="1"/>
    <col min="4367" max="4367" width="11.33203125" bestFit="1" customWidth="1"/>
    <col min="4368" max="4368" width="12.44140625" bestFit="1" customWidth="1"/>
    <col min="4369" max="4373" width="0" hidden="1" customWidth="1"/>
    <col min="4374" max="4374" width="13.44140625" customWidth="1"/>
    <col min="4375" max="4375" width="10.88671875" customWidth="1"/>
    <col min="4376" max="4384" width="0" hidden="1" customWidth="1"/>
    <col min="4612" max="4612" width="5.44140625" customWidth="1"/>
    <col min="4613" max="4613" width="28.88671875" customWidth="1"/>
    <col min="4614" max="4614" width="15.33203125" customWidth="1"/>
    <col min="4615" max="4615" width="6.6640625" customWidth="1"/>
    <col min="4616" max="4616" width="7.33203125" customWidth="1"/>
    <col min="4617" max="4617" width="10.44140625" customWidth="1"/>
    <col min="4618" max="4618" width="13.44140625" customWidth="1"/>
    <col min="4619" max="4619" width="19.44140625" customWidth="1"/>
    <col min="4620" max="4620" width="7.109375" customWidth="1"/>
    <col min="4621" max="4621" width="0" hidden="1" customWidth="1"/>
    <col min="4622" max="4622" width="13" customWidth="1"/>
    <col min="4623" max="4623" width="11.33203125" bestFit="1" customWidth="1"/>
    <col min="4624" max="4624" width="12.44140625" bestFit="1" customWidth="1"/>
    <col min="4625" max="4629" width="0" hidden="1" customWidth="1"/>
    <col min="4630" max="4630" width="13.44140625" customWidth="1"/>
    <col min="4631" max="4631" width="10.88671875" customWidth="1"/>
    <col min="4632" max="4640" width="0" hidden="1" customWidth="1"/>
    <col min="4868" max="4868" width="5.44140625" customWidth="1"/>
    <col min="4869" max="4869" width="28.88671875" customWidth="1"/>
    <col min="4870" max="4870" width="15.33203125" customWidth="1"/>
    <col min="4871" max="4871" width="6.6640625" customWidth="1"/>
    <col min="4872" max="4872" width="7.33203125" customWidth="1"/>
    <col min="4873" max="4873" width="10.44140625" customWidth="1"/>
    <col min="4874" max="4874" width="13.44140625" customWidth="1"/>
    <col min="4875" max="4875" width="19.44140625" customWidth="1"/>
    <col min="4876" max="4876" width="7.109375" customWidth="1"/>
    <col min="4877" max="4877" width="0" hidden="1" customWidth="1"/>
    <col min="4878" max="4878" width="13" customWidth="1"/>
    <col min="4879" max="4879" width="11.33203125" bestFit="1" customWidth="1"/>
    <col min="4880" max="4880" width="12.44140625" bestFit="1" customWidth="1"/>
    <col min="4881" max="4885" width="0" hidden="1" customWidth="1"/>
    <col min="4886" max="4886" width="13.44140625" customWidth="1"/>
    <col min="4887" max="4887" width="10.88671875" customWidth="1"/>
    <col min="4888" max="4896" width="0" hidden="1" customWidth="1"/>
    <col min="5124" max="5124" width="5.44140625" customWidth="1"/>
    <col min="5125" max="5125" width="28.88671875" customWidth="1"/>
    <col min="5126" max="5126" width="15.33203125" customWidth="1"/>
    <col min="5127" max="5127" width="6.6640625" customWidth="1"/>
    <col min="5128" max="5128" width="7.33203125" customWidth="1"/>
    <col min="5129" max="5129" width="10.44140625" customWidth="1"/>
    <col min="5130" max="5130" width="13.44140625" customWidth="1"/>
    <col min="5131" max="5131" width="19.44140625" customWidth="1"/>
    <col min="5132" max="5132" width="7.109375" customWidth="1"/>
    <col min="5133" max="5133" width="0" hidden="1" customWidth="1"/>
    <col min="5134" max="5134" width="13" customWidth="1"/>
    <col min="5135" max="5135" width="11.33203125" bestFit="1" customWidth="1"/>
    <col min="5136" max="5136" width="12.44140625" bestFit="1" customWidth="1"/>
    <col min="5137" max="5141" width="0" hidden="1" customWidth="1"/>
    <col min="5142" max="5142" width="13.44140625" customWidth="1"/>
    <col min="5143" max="5143" width="10.88671875" customWidth="1"/>
    <col min="5144" max="5152" width="0" hidden="1" customWidth="1"/>
    <col min="5380" max="5380" width="5.44140625" customWidth="1"/>
    <col min="5381" max="5381" width="28.88671875" customWidth="1"/>
    <col min="5382" max="5382" width="15.33203125" customWidth="1"/>
    <col min="5383" max="5383" width="6.6640625" customWidth="1"/>
    <col min="5384" max="5384" width="7.33203125" customWidth="1"/>
    <col min="5385" max="5385" width="10.44140625" customWidth="1"/>
    <col min="5386" max="5386" width="13.44140625" customWidth="1"/>
    <col min="5387" max="5387" width="19.44140625" customWidth="1"/>
    <col min="5388" max="5388" width="7.109375" customWidth="1"/>
    <col min="5389" max="5389" width="0" hidden="1" customWidth="1"/>
    <col min="5390" max="5390" width="13" customWidth="1"/>
    <col min="5391" max="5391" width="11.33203125" bestFit="1" customWidth="1"/>
    <col min="5392" max="5392" width="12.44140625" bestFit="1" customWidth="1"/>
    <col min="5393" max="5397" width="0" hidden="1" customWidth="1"/>
    <col min="5398" max="5398" width="13.44140625" customWidth="1"/>
    <col min="5399" max="5399" width="10.88671875" customWidth="1"/>
    <col min="5400" max="5408" width="0" hidden="1" customWidth="1"/>
    <col min="5636" max="5636" width="5.44140625" customWidth="1"/>
    <col min="5637" max="5637" width="28.88671875" customWidth="1"/>
    <col min="5638" max="5638" width="15.33203125" customWidth="1"/>
    <col min="5639" max="5639" width="6.6640625" customWidth="1"/>
    <col min="5640" max="5640" width="7.33203125" customWidth="1"/>
    <col min="5641" max="5641" width="10.44140625" customWidth="1"/>
    <col min="5642" max="5642" width="13.44140625" customWidth="1"/>
    <col min="5643" max="5643" width="19.44140625" customWidth="1"/>
    <col min="5644" max="5644" width="7.109375" customWidth="1"/>
    <col min="5645" max="5645" width="0" hidden="1" customWidth="1"/>
    <col min="5646" max="5646" width="13" customWidth="1"/>
    <col min="5647" max="5647" width="11.33203125" bestFit="1" customWidth="1"/>
    <col min="5648" max="5648" width="12.44140625" bestFit="1" customWidth="1"/>
    <col min="5649" max="5653" width="0" hidden="1" customWidth="1"/>
    <col min="5654" max="5654" width="13.44140625" customWidth="1"/>
    <col min="5655" max="5655" width="10.88671875" customWidth="1"/>
    <col min="5656" max="5664" width="0" hidden="1" customWidth="1"/>
    <col min="5892" max="5892" width="5.44140625" customWidth="1"/>
    <col min="5893" max="5893" width="28.88671875" customWidth="1"/>
    <col min="5894" max="5894" width="15.33203125" customWidth="1"/>
    <col min="5895" max="5895" width="6.6640625" customWidth="1"/>
    <col min="5896" max="5896" width="7.33203125" customWidth="1"/>
    <col min="5897" max="5897" width="10.44140625" customWidth="1"/>
    <col min="5898" max="5898" width="13.44140625" customWidth="1"/>
    <col min="5899" max="5899" width="19.44140625" customWidth="1"/>
    <col min="5900" max="5900" width="7.109375" customWidth="1"/>
    <col min="5901" max="5901" width="0" hidden="1" customWidth="1"/>
    <col min="5902" max="5902" width="13" customWidth="1"/>
    <col min="5903" max="5903" width="11.33203125" bestFit="1" customWidth="1"/>
    <col min="5904" max="5904" width="12.44140625" bestFit="1" customWidth="1"/>
    <col min="5905" max="5909" width="0" hidden="1" customWidth="1"/>
    <col min="5910" max="5910" width="13.44140625" customWidth="1"/>
    <col min="5911" max="5911" width="10.88671875" customWidth="1"/>
    <col min="5912" max="5920" width="0" hidden="1" customWidth="1"/>
    <col min="6148" max="6148" width="5.44140625" customWidth="1"/>
    <col min="6149" max="6149" width="28.88671875" customWidth="1"/>
    <col min="6150" max="6150" width="15.33203125" customWidth="1"/>
    <col min="6151" max="6151" width="6.6640625" customWidth="1"/>
    <col min="6152" max="6152" width="7.33203125" customWidth="1"/>
    <col min="6153" max="6153" width="10.44140625" customWidth="1"/>
    <col min="6154" max="6154" width="13.44140625" customWidth="1"/>
    <col min="6155" max="6155" width="19.44140625" customWidth="1"/>
    <col min="6156" max="6156" width="7.109375" customWidth="1"/>
    <col min="6157" max="6157" width="0" hidden="1" customWidth="1"/>
    <col min="6158" max="6158" width="13" customWidth="1"/>
    <col min="6159" max="6159" width="11.33203125" bestFit="1" customWidth="1"/>
    <col min="6160" max="6160" width="12.44140625" bestFit="1" customWidth="1"/>
    <col min="6161" max="6165" width="0" hidden="1" customWidth="1"/>
    <col min="6166" max="6166" width="13.44140625" customWidth="1"/>
    <col min="6167" max="6167" width="10.88671875" customWidth="1"/>
    <col min="6168" max="6176" width="0" hidden="1" customWidth="1"/>
    <col min="6404" max="6404" width="5.44140625" customWidth="1"/>
    <col min="6405" max="6405" width="28.88671875" customWidth="1"/>
    <col min="6406" max="6406" width="15.33203125" customWidth="1"/>
    <col min="6407" max="6407" width="6.6640625" customWidth="1"/>
    <col min="6408" max="6408" width="7.33203125" customWidth="1"/>
    <col min="6409" max="6409" width="10.44140625" customWidth="1"/>
    <col min="6410" max="6410" width="13.44140625" customWidth="1"/>
    <col min="6411" max="6411" width="19.44140625" customWidth="1"/>
    <col min="6412" max="6412" width="7.109375" customWidth="1"/>
    <col min="6413" max="6413" width="0" hidden="1" customWidth="1"/>
    <col min="6414" max="6414" width="13" customWidth="1"/>
    <col min="6415" max="6415" width="11.33203125" bestFit="1" customWidth="1"/>
    <col min="6416" max="6416" width="12.44140625" bestFit="1" customWidth="1"/>
    <col min="6417" max="6421" width="0" hidden="1" customWidth="1"/>
    <col min="6422" max="6422" width="13.44140625" customWidth="1"/>
    <col min="6423" max="6423" width="10.88671875" customWidth="1"/>
    <col min="6424" max="6432" width="0" hidden="1" customWidth="1"/>
    <col min="6660" max="6660" width="5.44140625" customWidth="1"/>
    <col min="6661" max="6661" width="28.88671875" customWidth="1"/>
    <col min="6662" max="6662" width="15.33203125" customWidth="1"/>
    <col min="6663" max="6663" width="6.6640625" customWidth="1"/>
    <col min="6664" max="6664" width="7.33203125" customWidth="1"/>
    <col min="6665" max="6665" width="10.44140625" customWidth="1"/>
    <col min="6666" max="6666" width="13.44140625" customWidth="1"/>
    <col min="6667" max="6667" width="19.44140625" customWidth="1"/>
    <col min="6668" max="6668" width="7.109375" customWidth="1"/>
    <col min="6669" max="6669" width="0" hidden="1" customWidth="1"/>
    <col min="6670" max="6670" width="13" customWidth="1"/>
    <col min="6671" max="6671" width="11.33203125" bestFit="1" customWidth="1"/>
    <col min="6672" max="6672" width="12.44140625" bestFit="1" customWidth="1"/>
    <col min="6673" max="6677" width="0" hidden="1" customWidth="1"/>
    <col min="6678" max="6678" width="13.44140625" customWidth="1"/>
    <col min="6679" max="6679" width="10.88671875" customWidth="1"/>
    <col min="6680" max="6688" width="0" hidden="1" customWidth="1"/>
    <col min="6916" max="6916" width="5.44140625" customWidth="1"/>
    <col min="6917" max="6917" width="28.88671875" customWidth="1"/>
    <col min="6918" max="6918" width="15.33203125" customWidth="1"/>
    <col min="6919" max="6919" width="6.6640625" customWidth="1"/>
    <col min="6920" max="6920" width="7.33203125" customWidth="1"/>
    <col min="6921" max="6921" width="10.44140625" customWidth="1"/>
    <col min="6922" max="6922" width="13.44140625" customWidth="1"/>
    <col min="6923" max="6923" width="19.44140625" customWidth="1"/>
    <col min="6924" max="6924" width="7.109375" customWidth="1"/>
    <col min="6925" max="6925" width="0" hidden="1" customWidth="1"/>
    <col min="6926" max="6926" width="13" customWidth="1"/>
    <col min="6927" max="6927" width="11.33203125" bestFit="1" customWidth="1"/>
    <col min="6928" max="6928" width="12.44140625" bestFit="1" customWidth="1"/>
    <col min="6929" max="6933" width="0" hidden="1" customWidth="1"/>
    <col min="6934" max="6934" width="13.44140625" customWidth="1"/>
    <col min="6935" max="6935" width="10.88671875" customWidth="1"/>
    <col min="6936" max="6944" width="0" hidden="1" customWidth="1"/>
    <col min="7172" max="7172" width="5.44140625" customWidth="1"/>
    <col min="7173" max="7173" width="28.88671875" customWidth="1"/>
    <col min="7174" max="7174" width="15.33203125" customWidth="1"/>
    <col min="7175" max="7175" width="6.6640625" customWidth="1"/>
    <col min="7176" max="7176" width="7.33203125" customWidth="1"/>
    <col min="7177" max="7177" width="10.44140625" customWidth="1"/>
    <col min="7178" max="7178" width="13.44140625" customWidth="1"/>
    <col min="7179" max="7179" width="19.44140625" customWidth="1"/>
    <col min="7180" max="7180" width="7.109375" customWidth="1"/>
    <col min="7181" max="7181" width="0" hidden="1" customWidth="1"/>
    <col min="7182" max="7182" width="13" customWidth="1"/>
    <col min="7183" max="7183" width="11.33203125" bestFit="1" customWidth="1"/>
    <col min="7184" max="7184" width="12.44140625" bestFit="1" customWidth="1"/>
    <col min="7185" max="7189" width="0" hidden="1" customWidth="1"/>
    <col min="7190" max="7190" width="13.44140625" customWidth="1"/>
    <col min="7191" max="7191" width="10.88671875" customWidth="1"/>
    <col min="7192" max="7200" width="0" hidden="1" customWidth="1"/>
    <col min="7428" max="7428" width="5.44140625" customWidth="1"/>
    <col min="7429" max="7429" width="28.88671875" customWidth="1"/>
    <col min="7430" max="7430" width="15.33203125" customWidth="1"/>
    <col min="7431" max="7431" width="6.6640625" customWidth="1"/>
    <col min="7432" max="7432" width="7.33203125" customWidth="1"/>
    <col min="7433" max="7433" width="10.44140625" customWidth="1"/>
    <col min="7434" max="7434" width="13.44140625" customWidth="1"/>
    <col min="7435" max="7435" width="19.44140625" customWidth="1"/>
    <col min="7436" max="7436" width="7.109375" customWidth="1"/>
    <col min="7437" max="7437" width="0" hidden="1" customWidth="1"/>
    <col min="7438" max="7438" width="13" customWidth="1"/>
    <col min="7439" max="7439" width="11.33203125" bestFit="1" customWidth="1"/>
    <col min="7440" max="7440" width="12.44140625" bestFit="1" customWidth="1"/>
    <col min="7441" max="7445" width="0" hidden="1" customWidth="1"/>
    <col min="7446" max="7446" width="13.44140625" customWidth="1"/>
    <col min="7447" max="7447" width="10.88671875" customWidth="1"/>
    <col min="7448" max="7456" width="0" hidden="1" customWidth="1"/>
    <col min="7684" max="7684" width="5.44140625" customWidth="1"/>
    <col min="7685" max="7685" width="28.88671875" customWidth="1"/>
    <col min="7686" max="7686" width="15.33203125" customWidth="1"/>
    <col min="7687" max="7687" width="6.6640625" customWidth="1"/>
    <col min="7688" max="7688" width="7.33203125" customWidth="1"/>
    <col min="7689" max="7689" width="10.44140625" customWidth="1"/>
    <col min="7690" max="7690" width="13.44140625" customWidth="1"/>
    <col min="7691" max="7691" width="19.44140625" customWidth="1"/>
    <col min="7692" max="7692" width="7.109375" customWidth="1"/>
    <col min="7693" max="7693" width="0" hidden="1" customWidth="1"/>
    <col min="7694" max="7694" width="13" customWidth="1"/>
    <col min="7695" max="7695" width="11.33203125" bestFit="1" customWidth="1"/>
    <col min="7696" max="7696" width="12.44140625" bestFit="1" customWidth="1"/>
    <col min="7697" max="7701" width="0" hidden="1" customWidth="1"/>
    <col min="7702" max="7702" width="13.44140625" customWidth="1"/>
    <col min="7703" max="7703" width="10.88671875" customWidth="1"/>
    <col min="7704" max="7712" width="0" hidden="1" customWidth="1"/>
    <col min="7940" max="7940" width="5.44140625" customWidth="1"/>
    <col min="7941" max="7941" width="28.88671875" customWidth="1"/>
    <col min="7942" max="7942" width="15.33203125" customWidth="1"/>
    <col min="7943" max="7943" width="6.6640625" customWidth="1"/>
    <col min="7944" max="7944" width="7.33203125" customWidth="1"/>
    <col min="7945" max="7945" width="10.44140625" customWidth="1"/>
    <col min="7946" max="7946" width="13.44140625" customWidth="1"/>
    <col min="7947" max="7947" width="19.44140625" customWidth="1"/>
    <col min="7948" max="7948" width="7.109375" customWidth="1"/>
    <col min="7949" max="7949" width="0" hidden="1" customWidth="1"/>
    <col min="7950" max="7950" width="13" customWidth="1"/>
    <col min="7951" max="7951" width="11.33203125" bestFit="1" customWidth="1"/>
    <col min="7952" max="7952" width="12.44140625" bestFit="1" customWidth="1"/>
    <col min="7953" max="7957" width="0" hidden="1" customWidth="1"/>
    <col min="7958" max="7958" width="13.44140625" customWidth="1"/>
    <col min="7959" max="7959" width="10.88671875" customWidth="1"/>
    <col min="7960" max="7968" width="0" hidden="1" customWidth="1"/>
    <col min="8196" max="8196" width="5.44140625" customWidth="1"/>
    <col min="8197" max="8197" width="28.88671875" customWidth="1"/>
    <col min="8198" max="8198" width="15.33203125" customWidth="1"/>
    <col min="8199" max="8199" width="6.6640625" customWidth="1"/>
    <col min="8200" max="8200" width="7.33203125" customWidth="1"/>
    <col min="8201" max="8201" width="10.44140625" customWidth="1"/>
    <col min="8202" max="8202" width="13.44140625" customWidth="1"/>
    <col min="8203" max="8203" width="19.44140625" customWidth="1"/>
    <col min="8204" max="8204" width="7.109375" customWidth="1"/>
    <col min="8205" max="8205" width="0" hidden="1" customWidth="1"/>
    <col min="8206" max="8206" width="13" customWidth="1"/>
    <col min="8207" max="8207" width="11.33203125" bestFit="1" customWidth="1"/>
    <col min="8208" max="8208" width="12.44140625" bestFit="1" customWidth="1"/>
    <col min="8209" max="8213" width="0" hidden="1" customWidth="1"/>
    <col min="8214" max="8214" width="13.44140625" customWidth="1"/>
    <col min="8215" max="8215" width="10.88671875" customWidth="1"/>
    <col min="8216" max="8224" width="0" hidden="1" customWidth="1"/>
    <col min="8452" max="8452" width="5.44140625" customWidth="1"/>
    <col min="8453" max="8453" width="28.88671875" customWidth="1"/>
    <col min="8454" max="8454" width="15.33203125" customWidth="1"/>
    <col min="8455" max="8455" width="6.6640625" customWidth="1"/>
    <col min="8456" max="8456" width="7.33203125" customWidth="1"/>
    <col min="8457" max="8457" width="10.44140625" customWidth="1"/>
    <col min="8458" max="8458" width="13.44140625" customWidth="1"/>
    <col min="8459" max="8459" width="19.44140625" customWidth="1"/>
    <col min="8460" max="8460" width="7.109375" customWidth="1"/>
    <col min="8461" max="8461" width="0" hidden="1" customWidth="1"/>
    <col min="8462" max="8462" width="13" customWidth="1"/>
    <col min="8463" max="8463" width="11.33203125" bestFit="1" customWidth="1"/>
    <col min="8464" max="8464" width="12.44140625" bestFit="1" customWidth="1"/>
    <col min="8465" max="8469" width="0" hidden="1" customWidth="1"/>
    <col min="8470" max="8470" width="13.44140625" customWidth="1"/>
    <col min="8471" max="8471" width="10.88671875" customWidth="1"/>
    <col min="8472" max="8480" width="0" hidden="1" customWidth="1"/>
    <col min="8708" max="8708" width="5.44140625" customWidth="1"/>
    <col min="8709" max="8709" width="28.88671875" customWidth="1"/>
    <col min="8710" max="8710" width="15.33203125" customWidth="1"/>
    <col min="8711" max="8711" width="6.6640625" customWidth="1"/>
    <col min="8712" max="8712" width="7.33203125" customWidth="1"/>
    <col min="8713" max="8713" width="10.44140625" customWidth="1"/>
    <col min="8714" max="8714" width="13.44140625" customWidth="1"/>
    <col min="8715" max="8715" width="19.44140625" customWidth="1"/>
    <col min="8716" max="8716" width="7.109375" customWidth="1"/>
    <col min="8717" max="8717" width="0" hidden="1" customWidth="1"/>
    <col min="8718" max="8718" width="13" customWidth="1"/>
    <col min="8719" max="8719" width="11.33203125" bestFit="1" customWidth="1"/>
    <col min="8720" max="8720" width="12.44140625" bestFit="1" customWidth="1"/>
    <col min="8721" max="8725" width="0" hidden="1" customWidth="1"/>
    <col min="8726" max="8726" width="13.44140625" customWidth="1"/>
    <col min="8727" max="8727" width="10.88671875" customWidth="1"/>
    <col min="8728" max="8736" width="0" hidden="1" customWidth="1"/>
    <col min="8964" max="8964" width="5.44140625" customWidth="1"/>
    <col min="8965" max="8965" width="28.88671875" customWidth="1"/>
    <col min="8966" max="8966" width="15.33203125" customWidth="1"/>
    <col min="8967" max="8967" width="6.6640625" customWidth="1"/>
    <col min="8968" max="8968" width="7.33203125" customWidth="1"/>
    <col min="8969" max="8969" width="10.44140625" customWidth="1"/>
    <col min="8970" max="8970" width="13.44140625" customWidth="1"/>
    <col min="8971" max="8971" width="19.44140625" customWidth="1"/>
    <col min="8972" max="8972" width="7.109375" customWidth="1"/>
    <col min="8973" max="8973" width="0" hidden="1" customWidth="1"/>
    <col min="8974" max="8974" width="13" customWidth="1"/>
    <col min="8975" max="8975" width="11.33203125" bestFit="1" customWidth="1"/>
    <col min="8976" max="8976" width="12.44140625" bestFit="1" customWidth="1"/>
    <col min="8977" max="8981" width="0" hidden="1" customWidth="1"/>
    <col min="8982" max="8982" width="13.44140625" customWidth="1"/>
    <col min="8983" max="8983" width="10.88671875" customWidth="1"/>
    <col min="8984" max="8992" width="0" hidden="1" customWidth="1"/>
    <col min="9220" max="9220" width="5.44140625" customWidth="1"/>
    <col min="9221" max="9221" width="28.88671875" customWidth="1"/>
    <col min="9222" max="9222" width="15.33203125" customWidth="1"/>
    <col min="9223" max="9223" width="6.6640625" customWidth="1"/>
    <col min="9224" max="9224" width="7.33203125" customWidth="1"/>
    <col min="9225" max="9225" width="10.44140625" customWidth="1"/>
    <col min="9226" max="9226" width="13.44140625" customWidth="1"/>
    <col min="9227" max="9227" width="19.44140625" customWidth="1"/>
    <col min="9228" max="9228" width="7.109375" customWidth="1"/>
    <col min="9229" max="9229" width="0" hidden="1" customWidth="1"/>
    <col min="9230" max="9230" width="13" customWidth="1"/>
    <col min="9231" max="9231" width="11.33203125" bestFit="1" customWidth="1"/>
    <col min="9232" max="9232" width="12.44140625" bestFit="1" customWidth="1"/>
    <col min="9233" max="9237" width="0" hidden="1" customWidth="1"/>
    <col min="9238" max="9238" width="13.44140625" customWidth="1"/>
    <col min="9239" max="9239" width="10.88671875" customWidth="1"/>
    <col min="9240" max="9248" width="0" hidden="1" customWidth="1"/>
    <col min="9476" max="9476" width="5.44140625" customWidth="1"/>
    <col min="9477" max="9477" width="28.88671875" customWidth="1"/>
    <col min="9478" max="9478" width="15.33203125" customWidth="1"/>
    <col min="9479" max="9479" width="6.6640625" customWidth="1"/>
    <col min="9480" max="9480" width="7.33203125" customWidth="1"/>
    <col min="9481" max="9481" width="10.44140625" customWidth="1"/>
    <col min="9482" max="9482" width="13.44140625" customWidth="1"/>
    <col min="9483" max="9483" width="19.44140625" customWidth="1"/>
    <col min="9484" max="9484" width="7.109375" customWidth="1"/>
    <col min="9485" max="9485" width="0" hidden="1" customWidth="1"/>
    <col min="9486" max="9486" width="13" customWidth="1"/>
    <col min="9487" max="9487" width="11.33203125" bestFit="1" customWidth="1"/>
    <col min="9488" max="9488" width="12.44140625" bestFit="1" customWidth="1"/>
    <col min="9489" max="9493" width="0" hidden="1" customWidth="1"/>
    <col min="9494" max="9494" width="13.44140625" customWidth="1"/>
    <col min="9495" max="9495" width="10.88671875" customWidth="1"/>
    <col min="9496" max="9504" width="0" hidden="1" customWidth="1"/>
    <col min="9732" max="9732" width="5.44140625" customWidth="1"/>
    <col min="9733" max="9733" width="28.88671875" customWidth="1"/>
    <col min="9734" max="9734" width="15.33203125" customWidth="1"/>
    <col min="9735" max="9735" width="6.6640625" customWidth="1"/>
    <col min="9736" max="9736" width="7.33203125" customWidth="1"/>
    <col min="9737" max="9737" width="10.44140625" customWidth="1"/>
    <col min="9738" max="9738" width="13.44140625" customWidth="1"/>
    <col min="9739" max="9739" width="19.44140625" customWidth="1"/>
    <col min="9740" max="9740" width="7.109375" customWidth="1"/>
    <col min="9741" max="9741" width="0" hidden="1" customWidth="1"/>
    <col min="9742" max="9742" width="13" customWidth="1"/>
    <col min="9743" max="9743" width="11.33203125" bestFit="1" customWidth="1"/>
    <col min="9744" max="9744" width="12.44140625" bestFit="1" customWidth="1"/>
    <col min="9745" max="9749" width="0" hidden="1" customWidth="1"/>
    <col min="9750" max="9750" width="13.44140625" customWidth="1"/>
    <col min="9751" max="9751" width="10.88671875" customWidth="1"/>
    <col min="9752" max="9760" width="0" hidden="1" customWidth="1"/>
    <col min="9988" max="9988" width="5.44140625" customWidth="1"/>
    <col min="9989" max="9989" width="28.88671875" customWidth="1"/>
    <col min="9990" max="9990" width="15.33203125" customWidth="1"/>
    <col min="9991" max="9991" width="6.6640625" customWidth="1"/>
    <col min="9992" max="9992" width="7.33203125" customWidth="1"/>
    <col min="9993" max="9993" width="10.44140625" customWidth="1"/>
    <col min="9994" max="9994" width="13.44140625" customWidth="1"/>
    <col min="9995" max="9995" width="19.44140625" customWidth="1"/>
    <col min="9996" max="9996" width="7.109375" customWidth="1"/>
    <col min="9997" max="9997" width="0" hidden="1" customWidth="1"/>
    <col min="9998" max="9998" width="13" customWidth="1"/>
    <col min="9999" max="9999" width="11.33203125" bestFit="1" customWidth="1"/>
    <col min="10000" max="10000" width="12.44140625" bestFit="1" customWidth="1"/>
    <col min="10001" max="10005" width="0" hidden="1" customWidth="1"/>
    <col min="10006" max="10006" width="13.44140625" customWidth="1"/>
    <col min="10007" max="10007" width="10.88671875" customWidth="1"/>
    <col min="10008" max="10016" width="0" hidden="1" customWidth="1"/>
    <col min="10244" max="10244" width="5.44140625" customWidth="1"/>
    <col min="10245" max="10245" width="28.88671875" customWidth="1"/>
    <col min="10246" max="10246" width="15.33203125" customWidth="1"/>
    <col min="10247" max="10247" width="6.6640625" customWidth="1"/>
    <col min="10248" max="10248" width="7.33203125" customWidth="1"/>
    <col min="10249" max="10249" width="10.44140625" customWidth="1"/>
    <col min="10250" max="10250" width="13.44140625" customWidth="1"/>
    <col min="10251" max="10251" width="19.44140625" customWidth="1"/>
    <col min="10252" max="10252" width="7.109375" customWidth="1"/>
    <col min="10253" max="10253" width="0" hidden="1" customWidth="1"/>
    <col min="10254" max="10254" width="13" customWidth="1"/>
    <col min="10255" max="10255" width="11.33203125" bestFit="1" customWidth="1"/>
    <col min="10256" max="10256" width="12.44140625" bestFit="1" customWidth="1"/>
    <col min="10257" max="10261" width="0" hidden="1" customWidth="1"/>
    <col min="10262" max="10262" width="13.44140625" customWidth="1"/>
    <col min="10263" max="10263" width="10.88671875" customWidth="1"/>
    <col min="10264" max="10272" width="0" hidden="1" customWidth="1"/>
    <col min="10500" max="10500" width="5.44140625" customWidth="1"/>
    <col min="10501" max="10501" width="28.88671875" customWidth="1"/>
    <col min="10502" max="10502" width="15.33203125" customWidth="1"/>
    <col min="10503" max="10503" width="6.6640625" customWidth="1"/>
    <col min="10504" max="10504" width="7.33203125" customWidth="1"/>
    <col min="10505" max="10505" width="10.44140625" customWidth="1"/>
    <col min="10506" max="10506" width="13.44140625" customWidth="1"/>
    <col min="10507" max="10507" width="19.44140625" customWidth="1"/>
    <col min="10508" max="10508" width="7.109375" customWidth="1"/>
    <col min="10509" max="10509" width="0" hidden="1" customWidth="1"/>
    <col min="10510" max="10510" width="13" customWidth="1"/>
    <col min="10511" max="10511" width="11.33203125" bestFit="1" customWidth="1"/>
    <col min="10512" max="10512" width="12.44140625" bestFit="1" customWidth="1"/>
    <col min="10513" max="10517" width="0" hidden="1" customWidth="1"/>
    <col min="10518" max="10518" width="13.44140625" customWidth="1"/>
    <col min="10519" max="10519" width="10.88671875" customWidth="1"/>
    <col min="10520" max="10528" width="0" hidden="1" customWidth="1"/>
    <col min="10756" max="10756" width="5.44140625" customWidth="1"/>
    <col min="10757" max="10757" width="28.88671875" customWidth="1"/>
    <col min="10758" max="10758" width="15.33203125" customWidth="1"/>
    <col min="10759" max="10759" width="6.6640625" customWidth="1"/>
    <col min="10760" max="10760" width="7.33203125" customWidth="1"/>
    <col min="10761" max="10761" width="10.44140625" customWidth="1"/>
    <col min="10762" max="10762" width="13.44140625" customWidth="1"/>
    <col min="10763" max="10763" width="19.44140625" customWidth="1"/>
    <col min="10764" max="10764" width="7.109375" customWidth="1"/>
    <col min="10765" max="10765" width="0" hidden="1" customWidth="1"/>
    <col min="10766" max="10766" width="13" customWidth="1"/>
    <col min="10767" max="10767" width="11.33203125" bestFit="1" customWidth="1"/>
    <col min="10768" max="10768" width="12.44140625" bestFit="1" customWidth="1"/>
    <col min="10769" max="10773" width="0" hidden="1" customWidth="1"/>
    <col min="10774" max="10774" width="13.44140625" customWidth="1"/>
    <col min="10775" max="10775" width="10.88671875" customWidth="1"/>
    <col min="10776" max="10784" width="0" hidden="1" customWidth="1"/>
    <col min="11012" max="11012" width="5.44140625" customWidth="1"/>
    <col min="11013" max="11013" width="28.88671875" customWidth="1"/>
    <col min="11014" max="11014" width="15.33203125" customWidth="1"/>
    <col min="11015" max="11015" width="6.6640625" customWidth="1"/>
    <col min="11016" max="11016" width="7.33203125" customWidth="1"/>
    <col min="11017" max="11017" width="10.44140625" customWidth="1"/>
    <col min="11018" max="11018" width="13.44140625" customWidth="1"/>
    <col min="11019" max="11019" width="19.44140625" customWidth="1"/>
    <col min="11020" max="11020" width="7.109375" customWidth="1"/>
    <col min="11021" max="11021" width="0" hidden="1" customWidth="1"/>
    <col min="11022" max="11022" width="13" customWidth="1"/>
    <col min="11023" max="11023" width="11.33203125" bestFit="1" customWidth="1"/>
    <col min="11024" max="11024" width="12.44140625" bestFit="1" customWidth="1"/>
    <col min="11025" max="11029" width="0" hidden="1" customWidth="1"/>
    <col min="11030" max="11030" width="13.44140625" customWidth="1"/>
    <col min="11031" max="11031" width="10.88671875" customWidth="1"/>
    <col min="11032" max="11040" width="0" hidden="1" customWidth="1"/>
    <col min="11268" max="11268" width="5.44140625" customWidth="1"/>
    <col min="11269" max="11269" width="28.88671875" customWidth="1"/>
    <col min="11270" max="11270" width="15.33203125" customWidth="1"/>
    <col min="11271" max="11271" width="6.6640625" customWidth="1"/>
    <col min="11272" max="11272" width="7.33203125" customWidth="1"/>
    <col min="11273" max="11273" width="10.44140625" customWidth="1"/>
    <col min="11274" max="11274" width="13.44140625" customWidth="1"/>
    <col min="11275" max="11275" width="19.44140625" customWidth="1"/>
    <col min="11276" max="11276" width="7.109375" customWidth="1"/>
    <col min="11277" max="11277" width="0" hidden="1" customWidth="1"/>
    <col min="11278" max="11278" width="13" customWidth="1"/>
    <col min="11279" max="11279" width="11.33203125" bestFit="1" customWidth="1"/>
    <col min="11280" max="11280" width="12.44140625" bestFit="1" customWidth="1"/>
    <col min="11281" max="11285" width="0" hidden="1" customWidth="1"/>
    <col min="11286" max="11286" width="13.44140625" customWidth="1"/>
    <col min="11287" max="11287" width="10.88671875" customWidth="1"/>
    <col min="11288" max="11296" width="0" hidden="1" customWidth="1"/>
    <col min="11524" max="11524" width="5.44140625" customWidth="1"/>
    <col min="11525" max="11525" width="28.88671875" customWidth="1"/>
    <col min="11526" max="11526" width="15.33203125" customWidth="1"/>
    <col min="11527" max="11527" width="6.6640625" customWidth="1"/>
    <col min="11528" max="11528" width="7.33203125" customWidth="1"/>
    <col min="11529" max="11529" width="10.44140625" customWidth="1"/>
    <col min="11530" max="11530" width="13.44140625" customWidth="1"/>
    <col min="11531" max="11531" width="19.44140625" customWidth="1"/>
    <col min="11532" max="11532" width="7.109375" customWidth="1"/>
    <col min="11533" max="11533" width="0" hidden="1" customWidth="1"/>
    <col min="11534" max="11534" width="13" customWidth="1"/>
    <col min="11535" max="11535" width="11.33203125" bestFit="1" customWidth="1"/>
    <col min="11536" max="11536" width="12.44140625" bestFit="1" customWidth="1"/>
    <col min="11537" max="11541" width="0" hidden="1" customWidth="1"/>
    <col min="11542" max="11542" width="13.44140625" customWidth="1"/>
    <col min="11543" max="11543" width="10.88671875" customWidth="1"/>
    <col min="11544" max="11552" width="0" hidden="1" customWidth="1"/>
    <col min="11780" max="11780" width="5.44140625" customWidth="1"/>
    <col min="11781" max="11781" width="28.88671875" customWidth="1"/>
    <col min="11782" max="11782" width="15.33203125" customWidth="1"/>
    <col min="11783" max="11783" width="6.6640625" customWidth="1"/>
    <col min="11784" max="11784" width="7.33203125" customWidth="1"/>
    <col min="11785" max="11785" width="10.44140625" customWidth="1"/>
    <col min="11786" max="11786" width="13.44140625" customWidth="1"/>
    <col min="11787" max="11787" width="19.44140625" customWidth="1"/>
    <col min="11788" max="11788" width="7.109375" customWidth="1"/>
    <col min="11789" max="11789" width="0" hidden="1" customWidth="1"/>
    <col min="11790" max="11790" width="13" customWidth="1"/>
    <col min="11791" max="11791" width="11.33203125" bestFit="1" customWidth="1"/>
    <col min="11792" max="11792" width="12.44140625" bestFit="1" customWidth="1"/>
    <col min="11793" max="11797" width="0" hidden="1" customWidth="1"/>
    <col min="11798" max="11798" width="13.44140625" customWidth="1"/>
    <col min="11799" max="11799" width="10.88671875" customWidth="1"/>
    <col min="11800" max="11808" width="0" hidden="1" customWidth="1"/>
    <col min="12036" max="12036" width="5.44140625" customWidth="1"/>
    <col min="12037" max="12037" width="28.88671875" customWidth="1"/>
    <col min="12038" max="12038" width="15.33203125" customWidth="1"/>
    <col min="12039" max="12039" width="6.6640625" customWidth="1"/>
    <col min="12040" max="12040" width="7.33203125" customWidth="1"/>
    <col min="12041" max="12041" width="10.44140625" customWidth="1"/>
    <col min="12042" max="12042" width="13.44140625" customWidth="1"/>
    <col min="12043" max="12043" width="19.44140625" customWidth="1"/>
    <col min="12044" max="12044" width="7.109375" customWidth="1"/>
    <col min="12045" max="12045" width="0" hidden="1" customWidth="1"/>
    <col min="12046" max="12046" width="13" customWidth="1"/>
    <col min="12047" max="12047" width="11.33203125" bestFit="1" customWidth="1"/>
    <col min="12048" max="12048" width="12.44140625" bestFit="1" customWidth="1"/>
    <col min="12049" max="12053" width="0" hidden="1" customWidth="1"/>
    <col min="12054" max="12054" width="13.44140625" customWidth="1"/>
    <col min="12055" max="12055" width="10.88671875" customWidth="1"/>
    <col min="12056" max="12064" width="0" hidden="1" customWidth="1"/>
    <col min="12292" max="12292" width="5.44140625" customWidth="1"/>
    <col min="12293" max="12293" width="28.88671875" customWidth="1"/>
    <col min="12294" max="12294" width="15.33203125" customWidth="1"/>
    <col min="12295" max="12295" width="6.6640625" customWidth="1"/>
    <col min="12296" max="12296" width="7.33203125" customWidth="1"/>
    <col min="12297" max="12297" width="10.44140625" customWidth="1"/>
    <col min="12298" max="12298" width="13.44140625" customWidth="1"/>
    <col min="12299" max="12299" width="19.44140625" customWidth="1"/>
    <col min="12300" max="12300" width="7.109375" customWidth="1"/>
    <col min="12301" max="12301" width="0" hidden="1" customWidth="1"/>
    <col min="12302" max="12302" width="13" customWidth="1"/>
    <col min="12303" max="12303" width="11.33203125" bestFit="1" customWidth="1"/>
    <col min="12304" max="12304" width="12.44140625" bestFit="1" customWidth="1"/>
    <col min="12305" max="12309" width="0" hidden="1" customWidth="1"/>
    <col min="12310" max="12310" width="13.44140625" customWidth="1"/>
    <col min="12311" max="12311" width="10.88671875" customWidth="1"/>
    <col min="12312" max="12320" width="0" hidden="1" customWidth="1"/>
    <col min="12548" max="12548" width="5.44140625" customWidth="1"/>
    <col min="12549" max="12549" width="28.88671875" customWidth="1"/>
    <col min="12550" max="12550" width="15.33203125" customWidth="1"/>
    <col min="12551" max="12551" width="6.6640625" customWidth="1"/>
    <col min="12552" max="12552" width="7.33203125" customWidth="1"/>
    <col min="12553" max="12553" width="10.44140625" customWidth="1"/>
    <col min="12554" max="12554" width="13.44140625" customWidth="1"/>
    <col min="12555" max="12555" width="19.44140625" customWidth="1"/>
    <col min="12556" max="12556" width="7.109375" customWidth="1"/>
    <col min="12557" max="12557" width="0" hidden="1" customWidth="1"/>
    <col min="12558" max="12558" width="13" customWidth="1"/>
    <col min="12559" max="12559" width="11.33203125" bestFit="1" customWidth="1"/>
    <col min="12560" max="12560" width="12.44140625" bestFit="1" customWidth="1"/>
    <col min="12561" max="12565" width="0" hidden="1" customWidth="1"/>
    <col min="12566" max="12566" width="13.44140625" customWidth="1"/>
    <col min="12567" max="12567" width="10.88671875" customWidth="1"/>
    <col min="12568" max="12576" width="0" hidden="1" customWidth="1"/>
    <col min="12804" max="12804" width="5.44140625" customWidth="1"/>
    <col min="12805" max="12805" width="28.88671875" customWidth="1"/>
    <col min="12806" max="12806" width="15.33203125" customWidth="1"/>
    <col min="12807" max="12807" width="6.6640625" customWidth="1"/>
    <col min="12808" max="12808" width="7.33203125" customWidth="1"/>
    <col min="12809" max="12809" width="10.44140625" customWidth="1"/>
    <col min="12810" max="12810" width="13.44140625" customWidth="1"/>
    <col min="12811" max="12811" width="19.44140625" customWidth="1"/>
    <col min="12812" max="12812" width="7.109375" customWidth="1"/>
    <col min="12813" max="12813" width="0" hidden="1" customWidth="1"/>
    <col min="12814" max="12814" width="13" customWidth="1"/>
    <col min="12815" max="12815" width="11.33203125" bestFit="1" customWidth="1"/>
    <col min="12816" max="12816" width="12.44140625" bestFit="1" customWidth="1"/>
    <col min="12817" max="12821" width="0" hidden="1" customWidth="1"/>
    <col min="12822" max="12822" width="13.44140625" customWidth="1"/>
    <col min="12823" max="12823" width="10.88671875" customWidth="1"/>
    <col min="12824" max="12832" width="0" hidden="1" customWidth="1"/>
    <col min="13060" max="13060" width="5.44140625" customWidth="1"/>
    <col min="13061" max="13061" width="28.88671875" customWidth="1"/>
    <col min="13062" max="13062" width="15.33203125" customWidth="1"/>
    <col min="13063" max="13063" width="6.6640625" customWidth="1"/>
    <col min="13064" max="13064" width="7.33203125" customWidth="1"/>
    <col min="13065" max="13065" width="10.44140625" customWidth="1"/>
    <col min="13066" max="13066" width="13.44140625" customWidth="1"/>
    <col min="13067" max="13067" width="19.44140625" customWidth="1"/>
    <col min="13068" max="13068" width="7.109375" customWidth="1"/>
    <col min="13069" max="13069" width="0" hidden="1" customWidth="1"/>
    <col min="13070" max="13070" width="13" customWidth="1"/>
    <col min="13071" max="13071" width="11.33203125" bestFit="1" customWidth="1"/>
    <col min="13072" max="13072" width="12.44140625" bestFit="1" customWidth="1"/>
    <col min="13073" max="13077" width="0" hidden="1" customWidth="1"/>
    <col min="13078" max="13078" width="13.44140625" customWidth="1"/>
    <col min="13079" max="13079" width="10.88671875" customWidth="1"/>
    <col min="13080" max="13088" width="0" hidden="1" customWidth="1"/>
    <col min="13316" max="13316" width="5.44140625" customWidth="1"/>
    <col min="13317" max="13317" width="28.88671875" customWidth="1"/>
    <col min="13318" max="13318" width="15.33203125" customWidth="1"/>
    <col min="13319" max="13319" width="6.6640625" customWidth="1"/>
    <col min="13320" max="13320" width="7.33203125" customWidth="1"/>
    <col min="13321" max="13321" width="10.44140625" customWidth="1"/>
    <col min="13322" max="13322" width="13.44140625" customWidth="1"/>
    <col min="13323" max="13323" width="19.44140625" customWidth="1"/>
    <col min="13324" max="13324" width="7.109375" customWidth="1"/>
    <col min="13325" max="13325" width="0" hidden="1" customWidth="1"/>
    <col min="13326" max="13326" width="13" customWidth="1"/>
    <col min="13327" max="13327" width="11.33203125" bestFit="1" customWidth="1"/>
    <col min="13328" max="13328" width="12.44140625" bestFit="1" customWidth="1"/>
    <col min="13329" max="13333" width="0" hidden="1" customWidth="1"/>
    <col min="13334" max="13334" width="13.44140625" customWidth="1"/>
    <col min="13335" max="13335" width="10.88671875" customWidth="1"/>
    <col min="13336" max="13344" width="0" hidden="1" customWidth="1"/>
    <col min="13572" max="13572" width="5.44140625" customWidth="1"/>
    <col min="13573" max="13573" width="28.88671875" customWidth="1"/>
    <col min="13574" max="13574" width="15.33203125" customWidth="1"/>
    <col min="13575" max="13575" width="6.6640625" customWidth="1"/>
    <col min="13576" max="13576" width="7.33203125" customWidth="1"/>
    <col min="13577" max="13577" width="10.44140625" customWidth="1"/>
    <col min="13578" max="13578" width="13.44140625" customWidth="1"/>
    <col min="13579" max="13579" width="19.44140625" customWidth="1"/>
    <col min="13580" max="13580" width="7.109375" customWidth="1"/>
    <col min="13581" max="13581" width="0" hidden="1" customWidth="1"/>
    <col min="13582" max="13582" width="13" customWidth="1"/>
    <col min="13583" max="13583" width="11.33203125" bestFit="1" customWidth="1"/>
    <col min="13584" max="13584" width="12.44140625" bestFit="1" customWidth="1"/>
    <col min="13585" max="13589" width="0" hidden="1" customWidth="1"/>
    <col min="13590" max="13590" width="13.44140625" customWidth="1"/>
    <col min="13591" max="13591" width="10.88671875" customWidth="1"/>
    <col min="13592" max="13600" width="0" hidden="1" customWidth="1"/>
    <col min="13828" max="13828" width="5.44140625" customWidth="1"/>
    <col min="13829" max="13829" width="28.88671875" customWidth="1"/>
    <col min="13830" max="13830" width="15.33203125" customWidth="1"/>
    <col min="13831" max="13831" width="6.6640625" customWidth="1"/>
    <col min="13832" max="13832" width="7.33203125" customWidth="1"/>
    <col min="13833" max="13833" width="10.44140625" customWidth="1"/>
    <col min="13834" max="13834" width="13.44140625" customWidth="1"/>
    <col min="13835" max="13835" width="19.44140625" customWidth="1"/>
    <col min="13836" max="13836" width="7.109375" customWidth="1"/>
    <col min="13837" max="13837" width="0" hidden="1" customWidth="1"/>
    <col min="13838" max="13838" width="13" customWidth="1"/>
    <col min="13839" max="13839" width="11.33203125" bestFit="1" customWidth="1"/>
    <col min="13840" max="13840" width="12.44140625" bestFit="1" customWidth="1"/>
    <col min="13841" max="13845" width="0" hidden="1" customWidth="1"/>
    <col min="13846" max="13846" width="13.44140625" customWidth="1"/>
    <col min="13847" max="13847" width="10.88671875" customWidth="1"/>
    <col min="13848" max="13856" width="0" hidden="1" customWidth="1"/>
    <col min="14084" max="14084" width="5.44140625" customWidth="1"/>
    <col min="14085" max="14085" width="28.88671875" customWidth="1"/>
    <col min="14086" max="14086" width="15.33203125" customWidth="1"/>
    <col min="14087" max="14087" width="6.6640625" customWidth="1"/>
    <col min="14088" max="14088" width="7.33203125" customWidth="1"/>
    <col min="14089" max="14089" width="10.44140625" customWidth="1"/>
    <col min="14090" max="14090" width="13.44140625" customWidth="1"/>
    <col min="14091" max="14091" width="19.44140625" customWidth="1"/>
    <col min="14092" max="14092" width="7.109375" customWidth="1"/>
    <col min="14093" max="14093" width="0" hidden="1" customWidth="1"/>
    <col min="14094" max="14094" width="13" customWidth="1"/>
    <col min="14095" max="14095" width="11.33203125" bestFit="1" customWidth="1"/>
    <col min="14096" max="14096" width="12.44140625" bestFit="1" customWidth="1"/>
    <col min="14097" max="14101" width="0" hidden="1" customWidth="1"/>
    <col min="14102" max="14102" width="13.44140625" customWidth="1"/>
    <col min="14103" max="14103" width="10.88671875" customWidth="1"/>
    <col min="14104" max="14112" width="0" hidden="1" customWidth="1"/>
    <col min="14340" max="14340" width="5.44140625" customWidth="1"/>
    <col min="14341" max="14341" width="28.88671875" customWidth="1"/>
    <col min="14342" max="14342" width="15.33203125" customWidth="1"/>
    <col min="14343" max="14343" width="6.6640625" customWidth="1"/>
    <col min="14344" max="14344" width="7.33203125" customWidth="1"/>
    <col min="14345" max="14345" width="10.44140625" customWidth="1"/>
    <col min="14346" max="14346" width="13.44140625" customWidth="1"/>
    <col min="14347" max="14347" width="19.44140625" customWidth="1"/>
    <col min="14348" max="14348" width="7.109375" customWidth="1"/>
    <col min="14349" max="14349" width="0" hidden="1" customWidth="1"/>
    <col min="14350" max="14350" width="13" customWidth="1"/>
    <col min="14351" max="14351" width="11.33203125" bestFit="1" customWidth="1"/>
    <col min="14352" max="14352" width="12.44140625" bestFit="1" customWidth="1"/>
    <col min="14353" max="14357" width="0" hidden="1" customWidth="1"/>
    <col min="14358" max="14358" width="13.44140625" customWidth="1"/>
    <col min="14359" max="14359" width="10.88671875" customWidth="1"/>
    <col min="14360" max="14368" width="0" hidden="1" customWidth="1"/>
    <col min="14596" max="14596" width="5.44140625" customWidth="1"/>
    <col min="14597" max="14597" width="28.88671875" customWidth="1"/>
    <col min="14598" max="14598" width="15.33203125" customWidth="1"/>
    <col min="14599" max="14599" width="6.6640625" customWidth="1"/>
    <col min="14600" max="14600" width="7.33203125" customWidth="1"/>
    <col min="14601" max="14601" width="10.44140625" customWidth="1"/>
    <col min="14602" max="14602" width="13.44140625" customWidth="1"/>
    <col min="14603" max="14603" width="19.44140625" customWidth="1"/>
    <col min="14604" max="14604" width="7.109375" customWidth="1"/>
    <col min="14605" max="14605" width="0" hidden="1" customWidth="1"/>
    <col min="14606" max="14606" width="13" customWidth="1"/>
    <col min="14607" max="14607" width="11.33203125" bestFit="1" customWidth="1"/>
    <col min="14608" max="14608" width="12.44140625" bestFit="1" customWidth="1"/>
    <col min="14609" max="14613" width="0" hidden="1" customWidth="1"/>
    <col min="14614" max="14614" width="13.44140625" customWidth="1"/>
    <col min="14615" max="14615" width="10.88671875" customWidth="1"/>
    <col min="14616" max="14624" width="0" hidden="1" customWidth="1"/>
    <col min="14852" max="14852" width="5.44140625" customWidth="1"/>
    <col min="14853" max="14853" width="28.88671875" customWidth="1"/>
    <col min="14854" max="14854" width="15.33203125" customWidth="1"/>
    <col min="14855" max="14855" width="6.6640625" customWidth="1"/>
    <col min="14856" max="14856" width="7.33203125" customWidth="1"/>
    <col min="14857" max="14857" width="10.44140625" customWidth="1"/>
    <col min="14858" max="14858" width="13.44140625" customWidth="1"/>
    <col min="14859" max="14859" width="19.44140625" customWidth="1"/>
    <col min="14860" max="14860" width="7.109375" customWidth="1"/>
    <col min="14861" max="14861" width="0" hidden="1" customWidth="1"/>
    <col min="14862" max="14862" width="13" customWidth="1"/>
    <col min="14863" max="14863" width="11.33203125" bestFit="1" customWidth="1"/>
    <col min="14864" max="14864" width="12.44140625" bestFit="1" customWidth="1"/>
    <col min="14865" max="14869" width="0" hidden="1" customWidth="1"/>
    <col min="14870" max="14870" width="13.44140625" customWidth="1"/>
    <col min="14871" max="14871" width="10.88671875" customWidth="1"/>
    <col min="14872" max="14880" width="0" hidden="1" customWidth="1"/>
    <col min="15108" max="15108" width="5.44140625" customWidth="1"/>
    <col min="15109" max="15109" width="28.88671875" customWidth="1"/>
    <col min="15110" max="15110" width="15.33203125" customWidth="1"/>
    <col min="15111" max="15111" width="6.6640625" customWidth="1"/>
    <col min="15112" max="15112" width="7.33203125" customWidth="1"/>
    <col min="15113" max="15113" width="10.44140625" customWidth="1"/>
    <col min="15114" max="15114" width="13.44140625" customWidth="1"/>
    <col min="15115" max="15115" width="19.44140625" customWidth="1"/>
    <col min="15116" max="15116" width="7.109375" customWidth="1"/>
    <col min="15117" max="15117" width="0" hidden="1" customWidth="1"/>
    <col min="15118" max="15118" width="13" customWidth="1"/>
    <col min="15119" max="15119" width="11.33203125" bestFit="1" customWidth="1"/>
    <col min="15120" max="15120" width="12.44140625" bestFit="1" customWidth="1"/>
    <col min="15121" max="15125" width="0" hidden="1" customWidth="1"/>
    <col min="15126" max="15126" width="13.44140625" customWidth="1"/>
    <col min="15127" max="15127" width="10.88671875" customWidth="1"/>
    <col min="15128" max="15136" width="0" hidden="1" customWidth="1"/>
    <col min="15364" max="15364" width="5.44140625" customWidth="1"/>
    <col min="15365" max="15365" width="28.88671875" customWidth="1"/>
    <col min="15366" max="15366" width="15.33203125" customWidth="1"/>
    <col min="15367" max="15367" width="6.6640625" customWidth="1"/>
    <col min="15368" max="15368" width="7.33203125" customWidth="1"/>
    <col min="15369" max="15369" width="10.44140625" customWidth="1"/>
    <col min="15370" max="15370" width="13.44140625" customWidth="1"/>
    <col min="15371" max="15371" width="19.44140625" customWidth="1"/>
    <col min="15372" max="15372" width="7.109375" customWidth="1"/>
    <col min="15373" max="15373" width="0" hidden="1" customWidth="1"/>
    <col min="15374" max="15374" width="13" customWidth="1"/>
    <col min="15375" max="15375" width="11.33203125" bestFit="1" customWidth="1"/>
    <col min="15376" max="15376" width="12.44140625" bestFit="1" customWidth="1"/>
    <col min="15377" max="15381" width="0" hidden="1" customWidth="1"/>
    <col min="15382" max="15382" width="13.44140625" customWidth="1"/>
    <col min="15383" max="15383" width="10.88671875" customWidth="1"/>
    <col min="15384" max="15392" width="0" hidden="1" customWidth="1"/>
    <col min="15620" max="15620" width="5.44140625" customWidth="1"/>
    <col min="15621" max="15621" width="28.88671875" customWidth="1"/>
    <col min="15622" max="15622" width="15.33203125" customWidth="1"/>
    <col min="15623" max="15623" width="6.6640625" customWidth="1"/>
    <col min="15624" max="15624" width="7.33203125" customWidth="1"/>
    <col min="15625" max="15625" width="10.44140625" customWidth="1"/>
    <col min="15626" max="15626" width="13.44140625" customWidth="1"/>
    <col min="15627" max="15627" width="19.44140625" customWidth="1"/>
    <col min="15628" max="15628" width="7.109375" customWidth="1"/>
    <col min="15629" max="15629" width="0" hidden="1" customWidth="1"/>
    <col min="15630" max="15630" width="13" customWidth="1"/>
    <col min="15631" max="15631" width="11.33203125" bestFit="1" customWidth="1"/>
    <col min="15632" max="15632" width="12.44140625" bestFit="1" customWidth="1"/>
    <col min="15633" max="15637" width="0" hidden="1" customWidth="1"/>
    <col min="15638" max="15638" width="13.44140625" customWidth="1"/>
    <col min="15639" max="15639" width="10.88671875" customWidth="1"/>
    <col min="15640" max="15648" width="0" hidden="1" customWidth="1"/>
    <col min="15876" max="15876" width="5.44140625" customWidth="1"/>
    <col min="15877" max="15877" width="28.88671875" customWidth="1"/>
    <col min="15878" max="15878" width="15.33203125" customWidth="1"/>
    <col min="15879" max="15879" width="6.6640625" customWidth="1"/>
    <col min="15880" max="15880" width="7.33203125" customWidth="1"/>
    <col min="15881" max="15881" width="10.44140625" customWidth="1"/>
    <col min="15882" max="15882" width="13.44140625" customWidth="1"/>
    <col min="15883" max="15883" width="19.44140625" customWidth="1"/>
    <col min="15884" max="15884" width="7.109375" customWidth="1"/>
    <col min="15885" max="15885" width="0" hidden="1" customWidth="1"/>
    <col min="15886" max="15886" width="13" customWidth="1"/>
    <col min="15887" max="15887" width="11.33203125" bestFit="1" customWidth="1"/>
    <col min="15888" max="15888" width="12.44140625" bestFit="1" customWidth="1"/>
    <col min="15889" max="15893" width="0" hidden="1" customWidth="1"/>
    <col min="15894" max="15894" width="13.44140625" customWidth="1"/>
    <col min="15895" max="15895" width="10.88671875" customWidth="1"/>
    <col min="15896" max="15904" width="0" hidden="1" customWidth="1"/>
    <col min="16132" max="16132" width="5.44140625" customWidth="1"/>
    <col min="16133" max="16133" width="28.88671875" customWidth="1"/>
    <col min="16134" max="16134" width="15.33203125" customWidth="1"/>
    <col min="16135" max="16135" width="6.6640625" customWidth="1"/>
    <col min="16136" max="16136" width="7.33203125" customWidth="1"/>
    <col min="16137" max="16137" width="10.44140625" customWidth="1"/>
    <col min="16138" max="16138" width="13.44140625" customWidth="1"/>
    <col min="16139" max="16139" width="19.44140625" customWidth="1"/>
    <col min="16140" max="16140" width="7.109375" customWidth="1"/>
    <col min="16141" max="16141" width="0" hidden="1" customWidth="1"/>
    <col min="16142" max="16142" width="13" customWidth="1"/>
    <col min="16143" max="16143" width="11.33203125" bestFit="1" customWidth="1"/>
    <col min="16144" max="16144" width="12.44140625" bestFit="1" customWidth="1"/>
    <col min="16145" max="16149" width="0" hidden="1" customWidth="1"/>
    <col min="16150" max="16150" width="13.44140625" customWidth="1"/>
    <col min="16151" max="16151" width="10.88671875" customWidth="1"/>
    <col min="16152" max="16160" width="0" hidden="1" customWidth="1"/>
  </cols>
  <sheetData>
    <row r="1" spans="1:35" ht="20.399999999999999" customHeight="1">
      <c r="A1" s="906" t="s">
        <v>1890</v>
      </c>
      <c r="B1" s="906"/>
      <c r="C1" s="906"/>
      <c r="D1" s="906"/>
      <c r="E1" s="906"/>
      <c r="F1" s="906"/>
      <c r="G1" s="906"/>
      <c r="H1" s="906"/>
      <c r="I1" s="906"/>
      <c r="J1" s="906"/>
      <c r="K1" s="906"/>
      <c r="L1" s="906"/>
      <c r="M1" s="906"/>
      <c r="N1" s="906"/>
      <c r="O1" s="906"/>
      <c r="P1" s="906"/>
      <c r="Q1" s="906"/>
      <c r="R1" s="906"/>
      <c r="S1" s="906"/>
      <c r="T1" s="906"/>
      <c r="U1" s="906"/>
      <c r="V1" s="906"/>
      <c r="W1" s="906"/>
      <c r="X1" s="35"/>
      <c r="Y1" s="35"/>
      <c r="Z1" s="35"/>
      <c r="AA1" s="35"/>
      <c r="AB1" s="411"/>
      <c r="AC1" s="411"/>
      <c r="AD1" s="411"/>
      <c r="AE1" s="411"/>
      <c r="AF1" s="411"/>
    </row>
    <row r="2" spans="1:35" ht="20.399999999999999" customHeight="1">
      <c r="A2" s="896" t="s">
        <v>358</v>
      </c>
      <c r="B2" s="896"/>
      <c r="C2" s="896"/>
      <c r="D2" s="896"/>
      <c r="E2" s="896"/>
      <c r="F2" s="896"/>
      <c r="G2" s="896"/>
      <c r="H2" s="896"/>
      <c r="I2" s="896"/>
      <c r="J2" s="896"/>
      <c r="K2" s="896"/>
      <c r="L2" s="896"/>
      <c r="M2" s="896"/>
      <c r="N2" s="896"/>
      <c r="O2" s="896"/>
      <c r="P2" s="896"/>
      <c r="Q2" s="896"/>
      <c r="R2" s="896"/>
      <c r="S2" s="896"/>
      <c r="T2" s="896"/>
      <c r="U2" s="896"/>
      <c r="V2" s="896"/>
      <c r="W2" s="896"/>
      <c r="X2" s="432"/>
      <c r="Y2" s="432"/>
      <c r="Z2" s="432"/>
      <c r="AA2" s="432"/>
      <c r="AB2" s="432"/>
      <c r="AC2" s="432"/>
      <c r="AD2" s="432"/>
      <c r="AE2" s="432"/>
      <c r="AF2" s="411"/>
    </row>
    <row r="3" spans="1:35" ht="20.399999999999999" customHeight="1">
      <c r="A3" s="906" t="s">
        <v>1771</v>
      </c>
      <c r="B3" s="906"/>
      <c r="C3" s="906"/>
      <c r="D3" s="906"/>
      <c r="E3" s="906"/>
      <c r="F3" s="906"/>
      <c r="G3" s="906"/>
      <c r="H3" s="906"/>
      <c r="I3" s="906"/>
      <c r="J3" s="906"/>
      <c r="K3" s="906"/>
      <c r="L3" s="906"/>
      <c r="M3" s="906"/>
      <c r="N3" s="906"/>
      <c r="O3" s="906"/>
      <c r="P3" s="906"/>
      <c r="Q3" s="906"/>
      <c r="R3" s="906"/>
      <c r="S3" s="906"/>
      <c r="T3" s="906"/>
      <c r="U3" s="906"/>
      <c r="V3" s="906"/>
      <c r="W3" s="906"/>
      <c r="X3" s="37"/>
      <c r="Y3" s="37"/>
      <c r="Z3" s="37"/>
      <c r="AA3" s="37"/>
      <c r="AB3" s="411"/>
      <c r="AC3" s="411"/>
      <c r="AD3" s="411"/>
      <c r="AE3" s="411"/>
      <c r="AF3" s="411"/>
    </row>
    <row r="4" spans="1:35" ht="20.399999999999999" customHeight="1">
      <c r="A4" s="907" t="str">
        <f>'PL3.NSDP-CT'!A4:Z4</f>
        <v>(Kèm theo Nghị quyết số 24/NQ-HĐND  ngày 22 tháng 8 năm 2025 của HĐND tỉnh Quảng Ngãi)</v>
      </c>
      <c r="B4" s="907"/>
      <c r="C4" s="907"/>
      <c r="D4" s="907"/>
      <c r="E4" s="907"/>
      <c r="F4" s="907"/>
      <c r="G4" s="907"/>
      <c r="H4" s="907"/>
      <c r="I4" s="907"/>
      <c r="J4" s="907"/>
      <c r="K4" s="907"/>
      <c r="L4" s="907"/>
      <c r="M4" s="907"/>
      <c r="N4" s="907"/>
      <c r="O4" s="907"/>
      <c r="P4" s="907"/>
      <c r="Q4" s="907"/>
      <c r="R4" s="907"/>
      <c r="S4" s="907"/>
      <c r="T4" s="907"/>
      <c r="U4" s="907"/>
      <c r="V4" s="907"/>
      <c r="W4" s="907"/>
      <c r="X4" s="37"/>
      <c r="Y4" s="37"/>
      <c r="Z4" s="37"/>
      <c r="AA4" s="37"/>
      <c r="AB4" s="411"/>
      <c r="AC4" s="411"/>
      <c r="AD4" s="411"/>
      <c r="AE4" s="411"/>
      <c r="AF4" s="411"/>
    </row>
    <row r="5" spans="1:35">
      <c r="A5" s="39"/>
      <c r="B5" s="40"/>
      <c r="C5" s="253"/>
      <c r="D5" s="24"/>
      <c r="E5" s="24"/>
      <c r="F5" s="41"/>
      <c r="G5" s="23"/>
      <c r="H5" s="23"/>
      <c r="I5" s="23"/>
      <c r="J5" s="25"/>
      <c r="K5" s="23"/>
      <c r="L5" s="42"/>
      <c r="M5" s="42"/>
      <c r="N5" s="42"/>
      <c r="O5" s="42"/>
      <c r="P5" s="42"/>
      <c r="Q5" s="42"/>
      <c r="R5" s="42"/>
      <c r="S5" s="42"/>
      <c r="T5" s="42"/>
      <c r="U5" s="42"/>
      <c r="V5" s="908" t="s">
        <v>1580</v>
      </c>
      <c r="W5" s="909"/>
      <c r="X5" s="44"/>
      <c r="Y5" s="44"/>
      <c r="Z5" s="44"/>
      <c r="AA5" s="44"/>
      <c r="AB5" s="411"/>
      <c r="AC5" s="411"/>
      <c r="AD5" s="411"/>
      <c r="AE5" s="411"/>
      <c r="AF5" s="411"/>
    </row>
    <row r="6" spans="1:35" ht="34.5" customHeight="1">
      <c r="A6" s="902" t="s">
        <v>403</v>
      </c>
      <c r="B6" s="902" t="s">
        <v>404</v>
      </c>
      <c r="C6" s="905" t="s">
        <v>421</v>
      </c>
      <c r="D6" s="902" t="s">
        <v>4</v>
      </c>
      <c r="E6" s="902" t="s">
        <v>422</v>
      </c>
      <c r="F6" s="905" t="s">
        <v>423</v>
      </c>
      <c r="G6" s="905" t="s">
        <v>424</v>
      </c>
      <c r="H6" s="902" t="s">
        <v>425</v>
      </c>
      <c r="I6" s="905" t="s">
        <v>426</v>
      </c>
      <c r="J6" s="905" t="s">
        <v>427</v>
      </c>
      <c r="K6" s="905"/>
      <c r="L6" s="905"/>
      <c r="M6" s="905"/>
      <c r="N6" s="910" t="s">
        <v>428</v>
      </c>
      <c r="O6" s="911"/>
      <c r="P6" s="912"/>
      <c r="Q6" s="913" t="s">
        <v>1722</v>
      </c>
      <c r="R6" s="914"/>
      <c r="S6" s="915"/>
      <c r="T6" s="902" t="s">
        <v>1723</v>
      </c>
      <c r="U6" s="902" t="s">
        <v>1777</v>
      </c>
      <c r="V6" s="902" t="s">
        <v>1754</v>
      </c>
      <c r="W6" s="900" t="s">
        <v>16</v>
      </c>
      <c r="X6" s="45">
        <f>40+30+40</f>
        <v>110</v>
      </c>
      <c r="Y6" s="45"/>
      <c r="Z6" s="45"/>
      <c r="AA6" s="45"/>
      <c r="AB6" s="82" t="s">
        <v>430</v>
      </c>
      <c r="AC6" s="82"/>
      <c r="AD6" s="82"/>
      <c r="AE6" s="82"/>
      <c r="AF6" s="82"/>
      <c r="AG6" s="46"/>
    </row>
    <row r="7" spans="1:35">
      <c r="A7" s="903"/>
      <c r="B7" s="903"/>
      <c r="C7" s="905"/>
      <c r="D7" s="903"/>
      <c r="E7" s="903"/>
      <c r="F7" s="905"/>
      <c r="G7" s="905"/>
      <c r="H7" s="903"/>
      <c r="I7" s="905"/>
      <c r="J7" s="905" t="s">
        <v>410</v>
      </c>
      <c r="K7" s="905" t="s">
        <v>8</v>
      </c>
      <c r="L7" s="905" t="s">
        <v>15</v>
      </c>
      <c r="M7" s="905"/>
      <c r="N7" s="902" t="s">
        <v>19</v>
      </c>
      <c r="O7" s="910" t="s">
        <v>15</v>
      </c>
      <c r="P7" s="912"/>
      <c r="Q7" s="916"/>
      <c r="R7" s="917"/>
      <c r="S7" s="918"/>
      <c r="T7" s="903"/>
      <c r="U7" s="903"/>
      <c r="V7" s="903"/>
      <c r="W7" s="900"/>
      <c r="X7" s="45">
        <v>800000</v>
      </c>
      <c r="Y7" s="45"/>
      <c r="Z7" s="45"/>
      <c r="AA7" s="45"/>
      <c r="AB7" s="82" t="s">
        <v>431</v>
      </c>
      <c r="AC7" s="81">
        <f>AC8+AC9</f>
        <v>15030000.000000002</v>
      </c>
      <c r="AD7" s="445" t="s">
        <v>432</v>
      </c>
      <c r="AE7" s="49">
        <v>10914200</v>
      </c>
      <c r="AF7" s="49">
        <v>12796219.500000002</v>
      </c>
      <c r="AG7" s="46"/>
    </row>
    <row r="8" spans="1:35">
      <c r="A8" s="903"/>
      <c r="B8" s="903"/>
      <c r="C8" s="905"/>
      <c r="D8" s="903"/>
      <c r="E8" s="903"/>
      <c r="F8" s="905"/>
      <c r="G8" s="905"/>
      <c r="H8" s="903"/>
      <c r="I8" s="905"/>
      <c r="J8" s="905"/>
      <c r="K8" s="905"/>
      <c r="L8" s="905" t="s">
        <v>21</v>
      </c>
      <c r="M8" s="905" t="s">
        <v>433</v>
      </c>
      <c r="N8" s="903"/>
      <c r="O8" s="902" t="s">
        <v>21</v>
      </c>
      <c r="P8" s="902" t="s">
        <v>433</v>
      </c>
      <c r="Q8" s="916"/>
      <c r="R8" s="917"/>
      <c r="S8" s="918"/>
      <c r="T8" s="903"/>
      <c r="U8" s="903"/>
      <c r="V8" s="903"/>
      <c r="W8" s="900"/>
      <c r="X8" s="45">
        <v>2730030</v>
      </c>
      <c r="Y8" s="45"/>
      <c r="Z8" s="45"/>
      <c r="AA8" s="45"/>
      <c r="AB8" s="82" t="s">
        <v>434</v>
      </c>
      <c r="AC8" s="81">
        <v>4115800.0000000019</v>
      </c>
      <c r="AD8" s="445" t="s">
        <v>435</v>
      </c>
      <c r="AE8" s="81">
        <f>AE7-R11</f>
        <v>10764200</v>
      </c>
      <c r="AF8" s="81">
        <f>AF7-S11</f>
        <v>12390219.500000002</v>
      </c>
      <c r="AG8" s="46"/>
      <c r="AH8" s="250">
        <v>230870.5477</v>
      </c>
    </row>
    <row r="9" spans="1:35" ht="19.5" customHeight="1">
      <c r="A9" s="904"/>
      <c r="B9" s="904"/>
      <c r="C9" s="905"/>
      <c r="D9" s="904"/>
      <c r="E9" s="904"/>
      <c r="F9" s="905"/>
      <c r="G9" s="905"/>
      <c r="H9" s="904"/>
      <c r="I9" s="905"/>
      <c r="J9" s="905"/>
      <c r="K9" s="905"/>
      <c r="L9" s="905"/>
      <c r="M9" s="905"/>
      <c r="N9" s="904"/>
      <c r="O9" s="904"/>
      <c r="P9" s="904"/>
      <c r="Q9" s="919"/>
      <c r="R9" s="920"/>
      <c r="S9" s="921"/>
      <c r="T9" s="904"/>
      <c r="U9" s="904"/>
      <c r="V9" s="904"/>
      <c r="W9" s="900"/>
      <c r="X9" s="50" t="e">
        <f>X11-X10</f>
        <v>#REF!</v>
      </c>
      <c r="Y9" s="50"/>
      <c r="Z9" s="45"/>
      <c r="AA9" s="45"/>
      <c r="AB9" s="82" t="s">
        <v>436</v>
      </c>
      <c r="AC9" s="81">
        <v>10914200</v>
      </c>
      <c r="AD9" s="445" t="s">
        <v>437</v>
      </c>
      <c r="AE9" s="49">
        <v>17803077.5</v>
      </c>
      <c r="AF9" s="82"/>
      <c r="AG9" s="46"/>
    </row>
    <row r="10" spans="1:35">
      <c r="A10" s="51">
        <v>1</v>
      </c>
      <c r="B10" s="51">
        <v>2</v>
      </c>
      <c r="C10" s="53">
        <v>3</v>
      </c>
      <c r="D10" s="53">
        <v>4</v>
      </c>
      <c r="E10" s="53">
        <v>4</v>
      </c>
      <c r="F10" s="53">
        <v>5</v>
      </c>
      <c r="G10" s="53">
        <v>7</v>
      </c>
      <c r="H10" s="53">
        <v>8</v>
      </c>
      <c r="I10" s="53">
        <v>6</v>
      </c>
      <c r="J10" s="53">
        <v>7</v>
      </c>
      <c r="K10" s="53">
        <v>8</v>
      </c>
      <c r="L10" s="53">
        <v>9</v>
      </c>
      <c r="M10" s="53">
        <v>10</v>
      </c>
      <c r="N10" s="53">
        <v>11</v>
      </c>
      <c r="O10" s="53">
        <v>12</v>
      </c>
      <c r="P10" s="53">
        <v>13</v>
      </c>
      <c r="Q10" s="53">
        <v>14</v>
      </c>
      <c r="R10" s="53">
        <v>15</v>
      </c>
      <c r="S10" s="53">
        <v>13</v>
      </c>
      <c r="T10" s="53"/>
      <c r="U10" s="53"/>
      <c r="V10" s="53">
        <v>11</v>
      </c>
      <c r="W10" s="54">
        <v>12</v>
      </c>
      <c r="X10" s="55" t="e">
        <f>#REF!+#REF!+#REF!+#REF!+#REF!+#REF!+#REF!+#REF!+#REF!+#REF!+#REF!+#REF!+#REF!+#REF!+#REF!+#REF!+#REF!+#REF!+#REF!+#REF!+#REF!+#REF!+#REF!+#REF!+#REF!+#REF!+#REF!+#REF!+#REF!+#REF!+#REF!+#REF!+#REF!+#REF!+#REF!+#REF!+#REF!+#REF!+#REF!+#REF!+#REF!+#REF!+#REF!+#REF!+#REF!+#REF!+#REF!+#REF!+#REF!+#REF!+#REF!+#REF!+#REF!+#REF!+#REF!+#REF!+#REF!+#REF!+#REF!</f>
        <v>#REF!</v>
      </c>
      <c r="Y10" s="55"/>
      <c r="Z10" s="55">
        <v>59</v>
      </c>
      <c r="AA10" s="55"/>
      <c r="AB10" s="82"/>
      <c r="AC10" s="82"/>
      <c r="AD10" s="445" t="s">
        <v>438</v>
      </c>
      <c r="AE10" s="81">
        <f>AE9-M11</f>
        <v>17155574.5</v>
      </c>
      <c r="AF10" s="82" t="s">
        <v>439</v>
      </c>
      <c r="AG10" s="46"/>
      <c r="AH10" s="251"/>
    </row>
    <row r="11" spans="1:35" ht="22.65" customHeight="1">
      <c r="A11" s="446"/>
      <c r="B11" s="447" t="s">
        <v>1724</v>
      </c>
      <c r="C11" s="446"/>
      <c r="D11" s="446"/>
      <c r="E11" s="446"/>
      <c r="F11" s="446"/>
      <c r="G11" s="446"/>
      <c r="H11" s="446"/>
      <c r="I11" s="446"/>
      <c r="J11" s="446"/>
      <c r="K11" s="448">
        <f>K12</f>
        <v>647503</v>
      </c>
      <c r="L11" s="448">
        <f t="shared" ref="L11:V12" si="0">L12</f>
        <v>0</v>
      </c>
      <c r="M11" s="448">
        <f t="shared" si="0"/>
        <v>647503</v>
      </c>
      <c r="N11" s="448">
        <f t="shared" si="0"/>
        <v>0</v>
      </c>
      <c r="O11" s="448">
        <f t="shared" si="0"/>
        <v>0</v>
      </c>
      <c r="P11" s="448">
        <f t="shared" si="0"/>
        <v>0</v>
      </c>
      <c r="Q11" s="448">
        <f t="shared" si="0"/>
        <v>170000</v>
      </c>
      <c r="R11" s="448">
        <f t="shared" si="0"/>
        <v>150000</v>
      </c>
      <c r="S11" s="448">
        <f t="shared" si="0"/>
        <v>406000</v>
      </c>
      <c r="T11" s="448">
        <f t="shared" si="0"/>
        <v>406000</v>
      </c>
      <c r="U11" s="448">
        <f t="shared" si="0"/>
        <v>261163</v>
      </c>
      <c r="V11" s="448">
        <f t="shared" si="0"/>
        <v>162000</v>
      </c>
      <c r="W11" s="449"/>
      <c r="X11" s="55">
        <f>M11-S11</f>
        <v>241503</v>
      </c>
      <c r="Y11" s="55"/>
      <c r="Z11" s="55"/>
      <c r="AA11" s="55"/>
      <c r="AB11" s="81">
        <f>M11-S11</f>
        <v>241503</v>
      </c>
      <c r="AC11" s="82"/>
      <c r="AD11" s="82"/>
      <c r="AE11" s="82"/>
      <c r="AF11" s="82"/>
      <c r="AG11" s="46"/>
      <c r="AH11" s="251">
        <v>230871</v>
      </c>
      <c r="AI11" s="4"/>
    </row>
    <row r="12" spans="1:35" ht="29.25" customHeight="1">
      <c r="A12" s="384" t="s">
        <v>35</v>
      </c>
      <c r="B12" s="384" t="s">
        <v>1725</v>
      </c>
      <c r="C12" s="385"/>
      <c r="D12" s="385"/>
      <c r="E12" s="385"/>
      <c r="F12" s="385"/>
      <c r="G12" s="385"/>
      <c r="H12" s="385"/>
      <c r="I12" s="385"/>
      <c r="J12" s="385"/>
      <c r="K12" s="386">
        <f>K13</f>
        <v>647503</v>
      </c>
      <c r="L12" s="386">
        <f t="shared" si="0"/>
        <v>0</v>
      </c>
      <c r="M12" s="386">
        <f t="shared" si="0"/>
        <v>647503</v>
      </c>
      <c r="N12" s="386">
        <f t="shared" si="0"/>
        <v>0</v>
      </c>
      <c r="O12" s="386">
        <f t="shared" si="0"/>
        <v>0</v>
      </c>
      <c r="P12" s="386">
        <f t="shared" si="0"/>
        <v>0</v>
      </c>
      <c r="Q12" s="386">
        <f t="shared" si="0"/>
        <v>170000</v>
      </c>
      <c r="R12" s="386">
        <f t="shared" si="0"/>
        <v>150000</v>
      </c>
      <c r="S12" s="386">
        <f t="shared" si="0"/>
        <v>406000</v>
      </c>
      <c r="T12" s="386">
        <f t="shared" si="0"/>
        <v>406000</v>
      </c>
      <c r="U12" s="386">
        <f t="shared" si="0"/>
        <v>261163</v>
      </c>
      <c r="V12" s="386">
        <f t="shared" si="0"/>
        <v>162000</v>
      </c>
      <c r="W12" s="386"/>
      <c r="X12" s="55"/>
      <c r="Y12" s="55"/>
      <c r="Z12" s="55"/>
      <c r="AA12" s="55"/>
      <c r="AB12" s="81"/>
      <c r="AC12" s="82"/>
      <c r="AD12" s="82"/>
      <c r="AE12" s="82"/>
      <c r="AF12" s="82"/>
      <c r="AG12" s="46"/>
      <c r="AH12" s="251"/>
      <c r="AI12" s="387"/>
    </row>
    <row r="13" spans="1:35" ht="31.65" customHeight="1">
      <c r="A13" s="461" t="s">
        <v>124</v>
      </c>
      <c r="B13" s="61" t="s">
        <v>576</v>
      </c>
      <c r="C13" s="62"/>
      <c r="D13" s="62"/>
      <c r="E13" s="62"/>
      <c r="F13" s="62"/>
      <c r="G13" s="62"/>
      <c r="H13" s="62"/>
      <c r="I13" s="62"/>
      <c r="J13" s="62"/>
      <c r="K13" s="460">
        <f>K14+K16+K19+K23</f>
        <v>647503</v>
      </c>
      <c r="L13" s="460">
        <f t="shared" ref="L13:V13" si="1">L14+L16+L19+L23</f>
        <v>0</v>
      </c>
      <c r="M13" s="460">
        <f t="shared" si="1"/>
        <v>647503</v>
      </c>
      <c r="N13" s="460">
        <f t="shared" si="1"/>
        <v>0</v>
      </c>
      <c r="O13" s="460">
        <f t="shared" si="1"/>
        <v>0</v>
      </c>
      <c r="P13" s="460">
        <f t="shared" si="1"/>
        <v>0</v>
      </c>
      <c r="Q13" s="460">
        <f t="shared" si="1"/>
        <v>170000</v>
      </c>
      <c r="R13" s="460">
        <f t="shared" si="1"/>
        <v>150000</v>
      </c>
      <c r="S13" s="460">
        <f t="shared" si="1"/>
        <v>406000</v>
      </c>
      <c r="T13" s="460">
        <f t="shared" si="1"/>
        <v>406000</v>
      </c>
      <c r="U13" s="460">
        <f t="shared" si="1"/>
        <v>261163</v>
      </c>
      <c r="V13" s="460">
        <f t="shared" si="1"/>
        <v>162000</v>
      </c>
      <c r="W13" s="64"/>
      <c r="X13" s="55"/>
      <c r="Y13" s="55"/>
      <c r="Z13" s="55"/>
      <c r="AA13" s="55"/>
      <c r="AB13" s="81"/>
      <c r="AC13" s="82"/>
      <c r="AD13" s="82"/>
      <c r="AE13" s="82"/>
      <c r="AF13" s="82"/>
      <c r="AG13" s="46"/>
      <c r="AH13" s="251"/>
    </row>
    <row r="14" spans="1:35" s="121" customFormat="1" ht="26.4" customHeight="1">
      <c r="A14" s="167" t="s">
        <v>441</v>
      </c>
      <c r="B14" s="707" t="s">
        <v>442</v>
      </c>
      <c r="C14" s="67"/>
      <c r="D14" s="67"/>
      <c r="E14" s="67"/>
      <c r="F14" s="67"/>
      <c r="G14" s="67"/>
      <c r="H14" s="67"/>
      <c r="I14" s="67"/>
      <c r="J14" s="67"/>
      <c r="K14" s="623">
        <f t="shared" ref="K14:V14" si="2">SUM(K15:K15)</f>
        <v>28363</v>
      </c>
      <c r="L14" s="623">
        <f t="shared" si="2"/>
        <v>0</v>
      </c>
      <c r="M14" s="623">
        <f t="shared" si="2"/>
        <v>28363</v>
      </c>
      <c r="N14" s="623">
        <f t="shared" si="2"/>
        <v>0</v>
      </c>
      <c r="O14" s="623">
        <f t="shared" si="2"/>
        <v>0</v>
      </c>
      <c r="P14" s="623">
        <f t="shared" si="2"/>
        <v>0</v>
      </c>
      <c r="Q14" s="623">
        <f t="shared" si="2"/>
        <v>0</v>
      </c>
      <c r="R14" s="623">
        <f t="shared" si="2"/>
        <v>0</v>
      </c>
      <c r="S14" s="623">
        <f t="shared" si="2"/>
        <v>0</v>
      </c>
      <c r="T14" s="623">
        <f t="shared" si="2"/>
        <v>0</v>
      </c>
      <c r="U14" s="623">
        <f t="shared" si="2"/>
        <v>28163</v>
      </c>
      <c r="V14" s="623">
        <f t="shared" si="2"/>
        <v>14000</v>
      </c>
      <c r="W14" s="118"/>
      <c r="X14" s="55"/>
      <c r="Y14" s="55"/>
      <c r="Z14" s="55"/>
      <c r="AA14" s="55"/>
      <c r="AB14" s="113"/>
      <c r="AC14" s="113"/>
      <c r="AD14" s="114"/>
      <c r="AE14" s="114"/>
      <c r="AF14" s="114"/>
      <c r="AG14" s="120"/>
      <c r="AH14" s="251"/>
    </row>
    <row r="15" spans="1:35" s="115" customFormat="1" ht="66">
      <c r="A15" s="708">
        <f>MAX(A$13:$A14)+1</f>
        <v>1</v>
      </c>
      <c r="B15" s="126" t="s">
        <v>289</v>
      </c>
      <c r="C15" s="175" t="s">
        <v>290</v>
      </c>
      <c r="D15" s="126"/>
      <c r="E15" s="175" t="s">
        <v>84</v>
      </c>
      <c r="F15" s="175" t="s">
        <v>314</v>
      </c>
      <c r="G15" s="126"/>
      <c r="H15" s="126"/>
      <c r="I15" s="175" t="s">
        <v>1675</v>
      </c>
      <c r="J15" s="175" t="s">
        <v>291</v>
      </c>
      <c r="K15" s="709">
        <v>28363</v>
      </c>
      <c r="L15" s="709"/>
      <c r="M15" s="709">
        <v>28363</v>
      </c>
      <c r="N15" s="709"/>
      <c r="O15" s="709"/>
      <c r="P15" s="709"/>
      <c r="Q15" s="709"/>
      <c r="R15" s="709"/>
      <c r="S15" s="709"/>
      <c r="T15" s="709"/>
      <c r="U15" s="709">
        <v>28163</v>
      </c>
      <c r="V15" s="709">
        <v>14000</v>
      </c>
      <c r="W15" s="710" t="s">
        <v>1865</v>
      </c>
      <c r="X15" s="711"/>
      <c r="Y15" s="711"/>
      <c r="Z15" s="711"/>
      <c r="AA15" s="711"/>
      <c r="AB15" s="113"/>
      <c r="AC15" s="113"/>
      <c r="AD15" s="114"/>
      <c r="AE15" s="114"/>
      <c r="AF15" s="114"/>
      <c r="AH15" s="407"/>
    </row>
    <row r="16" spans="1:35" s="120" customFormat="1" ht="39.75" customHeight="1">
      <c r="A16" s="65" t="s">
        <v>498</v>
      </c>
      <c r="B16" s="712" t="s">
        <v>499</v>
      </c>
      <c r="C16" s="713"/>
      <c r="D16" s="116"/>
      <c r="E16" s="116"/>
      <c r="F16" s="116"/>
      <c r="G16" s="116"/>
      <c r="H16" s="145"/>
      <c r="I16" s="116"/>
      <c r="J16" s="65"/>
      <c r="K16" s="457">
        <f t="shared" ref="K16:V16" si="3">SUM(K17:K18)</f>
        <v>163640</v>
      </c>
      <c r="L16" s="457">
        <f t="shared" si="3"/>
        <v>0</v>
      </c>
      <c r="M16" s="457">
        <f t="shared" si="3"/>
        <v>163640</v>
      </c>
      <c r="N16" s="457">
        <f t="shared" si="3"/>
        <v>0</v>
      </c>
      <c r="O16" s="457">
        <f t="shared" si="3"/>
        <v>0</v>
      </c>
      <c r="P16" s="457">
        <f t="shared" si="3"/>
        <v>0</v>
      </c>
      <c r="Q16" s="457">
        <f t="shared" si="3"/>
        <v>150000</v>
      </c>
      <c r="R16" s="457">
        <f t="shared" si="3"/>
        <v>150000</v>
      </c>
      <c r="S16" s="457">
        <f t="shared" si="3"/>
        <v>150000</v>
      </c>
      <c r="T16" s="457">
        <f t="shared" si="3"/>
        <v>150000</v>
      </c>
      <c r="U16" s="457">
        <f t="shared" si="3"/>
        <v>5000</v>
      </c>
      <c r="V16" s="457">
        <f t="shared" si="3"/>
        <v>13000</v>
      </c>
      <c r="W16" s="145"/>
      <c r="X16" s="711"/>
      <c r="Y16" s="711"/>
      <c r="Z16" s="711"/>
      <c r="AA16" s="711"/>
      <c r="AB16" s="124"/>
      <c r="AC16" s="114"/>
      <c r="AD16" s="114"/>
      <c r="AE16" s="114"/>
      <c r="AF16" s="114"/>
      <c r="AH16" s="407"/>
    </row>
    <row r="17" spans="1:34" s="120" customFormat="1" ht="45.75" customHeight="1">
      <c r="A17" s="369">
        <f>MAX(A$13:$A15)+1</f>
        <v>2</v>
      </c>
      <c r="B17" s="71" t="s">
        <v>1863</v>
      </c>
      <c r="C17" s="714" t="s">
        <v>398</v>
      </c>
      <c r="D17" s="175"/>
      <c r="E17" s="72" t="s">
        <v>84</v>
      </c>
      <c r="F17" s="175" t="s">
        <v>573</v>
      </c>
      <c r="G17" s="175"/>
      <c r="H17" s="153"/>
      <c r="I17" s="72" t="s">
        <v>1675</v>
      </c>
      <c r="J17" s="175" t="s">
        <v>1864</v>
      </c>
      <c r="K17" s="151">
        <v>13640</v>
      </c>
      <c r="L17" s="151"/>
      <c r="M17" s="151">
        <v>13640</v>
      </c>
      <c r="N17" s="152"/>
      <c r="O17" s="152"/>
      <c r="P17" s="152"/>
      <c r="Q17" s="152"/>
      <c r="R17" s="152"/>
      <c r="S17" s="152"/>
      <c r="T17" s="152"/>
      <c r="U17" s="152"/>
      <c r="V17" s="151">
        <v>8000</v>
      </c>
      <c r="W17" s="459" t="s">
        <v>867</v>
      </c>
      <c r="X17" s="55"/>
      <c r="Y17" s="55"/>
      <c r="Z17" s="55"/>
      <c r="AA17" s="55"/>
      <c r="AB17" s="154"/>
      <c r="AC17" s="114"/>
      <c r="AD17" s="114"/>
      <c r="AE17" s="114"/>
      <c r="AF17" s="114"/>
      <c r="AH17" s="251"/>
    </row>
    <row r="18" spans="1:34" s="775" customFormat="1" ht="84.75" customHeight="1">
      <c r="A18" s="763">
        <f>MAX(A$13:$A17)+1</f>
        <v>3</v>
      </c>
      <c r="B18" s="764" t="s">
        <v>1886</v>
      </c>
      <c r="C18" s="6" t="s">
        <v>398</v>
      </c>
      <c r="D18" s="6" t="s">
        <v>47</v>
      </c>
      <c r="E18" s="6" t="s">
        <v>84</v>
      </c>
      <c r="F18" s="6" t="s">
        <v>912</v>
      </c>
      <c r="G18" s="765"/>
      <c r="H18" s="766"/>
      <c r="I18" s="6" t="s">
        <v>568</v>
      </c>
      <c r="J18" s="6"/>
      <c r="K18" s="767">
        <v>150000</v>
      </c>
      <c r="L18" s="767"/>
      <c r="M18" s="767">
        <v>150000</v>
      </c>
      <c r="N18" s="767"/>
      <c r="O18" s="767"/>
      <c r="P18" s="767"/>
      <c r="Q18" s="767">
        <v>150000</v>
      </c>
      <c r="R18" s="767">
        <v>150000</v>
      </c>
      <c r="S18" s="767">
        <v>150000</v>
      </c>
      <c r="T18" s="767">
        <v>150000</v>
      </c>
      <c r="U18" s="768">
        <v>5000</v>
      </c>
      <c r="V18" s="769">
        <v>5000</v>
      </c>
      <c r="W18" s="770"/>
      <c r="X18" s="771"/>
      <c r="Y18" s="771"/>
      <c r="Z18" s="771"/>
      <c r="AA18" s="771"/>
      <c r="AB18" s="772"/>
      <c r="AC18" s="772"/>
      <c r="AD18" s="773"/>
      <c r="AE18" s="773"/>
      <c r="AF18" s="773"/>
      <c r="AG18" s="773"/>
      <c r="AH18" s="774"/>
    </row>
    <row r="19" spans="1:34" s="120" customFormat="1" ht="21.75" customHeight="1">
      <c r="A19" s="167" t="s">
        <v>509</v>
      </c>
      <c r="B19" s="66" t="s">
        <v>1049</v>
      </c>
      <c r="C19" s="67"/>
      <c r="D19" s="116"/>
      <c r="E19" s="116"/>
      <c r="F19" s="116"/>
      <c r="G19" s="116"/>
      <c r="H19" s="116"/>
      <c r="I19" s="116"/>
      <c r="J19" s="116"/>
      <c r="K19" s="117">
        <f t="shared" ref="K19:V19" si="4">SUM(K20:K22)</f>
        <v>300000</v>
      </c>
      <c r="L19" s="117">
        <f t="shared" si="4"/>
        <v>0</v>
      </c>
      <c r="M19" s="117">
        <f t="shared" si="4"/>
        <v>300000</v>
      </c>
      <c r="N19" s="117">
        <f t="shared" si="4"/>
        <v>0</v>
      </c>
      <c r="O19" s="117">
        <f t="shared" si="4"/>
        <v>0</v>
      </c>
      <c r="P19" s="117">
        <f t="shared" si="4"/>
        <v>0</v>
      </c>
      <c r="Q19" s="117">
        <f t="shared" si="4"/>
        <v>0</v>
      </c>
      <c r="R19" s="117">
        <f t="shared" si="4"/>
        <v>0</v>
      </c>
      <c r="S19" s="117">
        <f t="shared" si="4"/>
        <v>200000</v>
      </c>
      <c r="T19" s="117">
        <f t="shared" si="4"/>
        <v>200000</v>
      </c>
      <c r="U19" s="117">
        <f t="shared" si="4"/>
        <v>200000</v>
      </c>
      <c r="V19" s="117">
        <f t="shared" si="4"/>
        <v>105000</v>
      </c>
      <c r="W19" s="158"/>
      <c r="X19" s="55" t="e">
        <f>#REF!-#REF!</f>
        <v>#REF!</v>
      </c>
      <c r="Y19" s="55"/>
      <c r="Z19" s="55"/>
      <c r="AA19" s="55"/>
      <c r="AB19" s="113">
        <f>K19-[5]Sheet1!$J$17</f>
        <v>-1360000</v>
      </c>
      <c r="AC19" s="114"/>
      <c r="AD19" s="114"/>
      <c r="AE19" s="114"/>
      <c r="AF19" s="114"/>
      <c r="AH19" s="251"/>
    </row>
    <row r="20" spans="1:34" s="115" customFormat="1" ht="68.25" customHeight="1">
      <c r="A20" s="369">
        <f>MAX(A18:B19)+1</f>
        <v>4</v>
      </c>
      <c r="B20" s="71" t="s">
        <v>1726</v>
      </c>
      <c r="C20" s="72" t="s">
        <v>259</v>
      </c>
      <c r="D20" s="72" t="s">
        <v>47</v>
      </c>
      <c r="E20" s="72" t="s">
        <v>47</v>
      </c>
      <c r="F20" s="72" t="s">
        <v>311</v>
      </c>
      <c r="G20" s="110"/>
      <c r="H20" s="73"/>
      <c r="I20" s="72" t="s">
        <v>416</v>
      </c>
      <c r="J20" s="72"/>
      <c r="K20" s="111">
        <v>200000</v>
      </c>
      <c r="L20" s="111"/>
      <c r="M20" s="111">
        <v>200000</v>
      </c>
      <c r="N20" s="111"/>
      <c r="O20" s="111"/>
      <c r="P20" s="111"/>
      <c r="Q20" s="111"/>
      <c r="R20" s="111"/>
      <c r="S20" s="111">
        <v>200000</v>
      </c>
      <c r="T20" s="111">
        <v>200000</v>
      </c>
      <c r="U20" s="111">
        <v>200000</v>
      </c>
      <c r="V20" s="111">
        <v>15000</v>
      </c>
      <c r="W20" s="112"/>
      <c r="X20" s="55"/>
      <c r="Y20" s="55"/>
      <c r="Z20" s="55"/>
      <c r="AA20" s="55"/>
      <c r="AB20" s="113"/>
      <c r="AC20" s="113"/>
      <c r="AD20" s="114"/>
      <c r="AE20" s="114"/>
      <c r="AF20" s="114"/>
      <c r="AG20" s="114"/>
      <c r="AH20" s="251"/>
    </row>
    <row r="21" spans="1:34" s="115" customFormat="1" ht="39.6">
      <c r="A21" s="369">
        <f t="shared" ref="A21:A22" si="5">MAX(A19:B20)+1</f>
        <v>5</v>
      </c>
      <c r="B21" s="162" t="s">
        <v>1074</v>
      </c>
      <c r="C21" s="72" t="s">
        <v>259</v>
      </c>
      <c r="D21" s="72"/>
      <c r="E21" s="72" t="s">
        <v>84</v>
      </c>
      <c r="F21" s="163" t="s">
        <v>325</v>
      </c>
      <c r="G21" s="72" t="s">
        <v>1075</v>
      </c>
      <c r="H21" s="164" t="s">
        <v>1073</v>
      </c>
      <c r="I21" s="72" t="s">
        <v>568</v>
      </c>
      <c r="J21" s="72"/>
      <c r="K21" s="75">
        <v>50000</v>
      </c>
      <c r="L21" s="75">
        <f t="shared" ref="L21:L22" si="6">R21</f>
        <v>0</v>
      </c>
      <c r="M21" s="75">
        <f t="shared" ref="M21:M22" si="7">K21-L21</f>
        <v>50000</v>
      </c>
      <c r="N21" s="111"/>
      <c r="O21" s="111"/>
      <c r="P21" s="111"/>
      <c r="Q21" s="111"/>
      <c r="R21" s="111"/>
      <c r="S21" s="111"/>
      <c r="T21" s="111"/>
      <c r="U21" s="111"/>
      <c r="V21" s="111">
        <v>45000</v>
      </c>
      <c r="W21" s="112"/>
      <c r="X21" s="55"/>
      <c r="Y21" s="55"/>
      <c r="Z21" s="55"/>
      <c r="AA21" s="55"/>
      <c r="AB21" s="113"/>
      <c r="AC21" s="113"/>
      <c r="AD21" s="114"/>
      <c r="AE21" s="114"/>
      <c r="AF21" s="114"/>
      <c r="AG21" s="114"/>
      <c r="AH21" s="251"/>
    </row>
    <row r="22" spans="1:34" s="115" customFormat="1" ht="39.6">
      <c r="A22" s="369">
        <f t="shared" si="5"/>
        <v>6</v>
      </c>
      <c r="B22" s="162" t="s">
        <v>1072</v>
      </c>
      <c r="C22" s="72" t="s">
        <v>259</v>
      </c>
      <c r="D22" s="72"/>
      <c r="E22" s="72" t="s">
        <v>84</v>
      </c>
      <c r="F22" s="163" t="s">
        <v>325</v>
      </c>
      <c r="G22" s="72" t="s">
        <v>1070</v>
      </c>
      <c r="H22" s="164" t="s">
        <v>1073</v>
      </c>
      <c r="I22" s="72" t="s">
        <v>568</v>
      </c>
      <c r="J22" s="72"/>
      <c r="K22" s="75">
        <v>50000</v>
      </c>
      <c r="L22" s="75">
        <f t="shared" si="6"/>
        <v>0</v>
      </c>
      <c r="M22" s="75">
        <f t="shared" si="7"/>
        <v>50000</v>
      </c>
      <c r="N22" s="111"/>
      <c r="O22" s="111"/>
      <c r="P22" s="111"/>
      <c r="Q22" s="111"/>
      <c r="R22" s="111"/>
      <c r="S22" s="111"/>
      <c r="T22" s="111"/>
      <c r="U22" s="111"/>
      <c r="V22" s="111">
        <v>45000</v>
      </c>
      <c r="W22" s="112"/>
      <c r="X22" s="55"/>
      <c r="Y22" s="55"/>
      <c r="Z22" s="55"/>
      <c r="AA22" s="55"/>
      <c r="AB22" s="113"/>
      <c r="AC22" s="113"/>
      <c r="AD22" s="114"/>
      <c r="AE22" s="114"/>
      <c r="AF22" s="114"/>
      <c r="AG22" s="114"/>
      <c r="AH22" s="251"/>
    </row>
    <row r="23" spans="1:34" s="171" customFormat="1" ht="24.75" customHeight="1">
      <c r="A23" s="167" t="s">
        <v>521</v>
      </c>
      <c r="B23" s="66" t="s">
        <v>1090</v>
      </c>
      <c r="C23" s="67"/>
      <c r="D23" s="67"/>
      <c r="E23" s="67"/>
      <c r="F23" s="67"/>
      <c r="G23" s="67"/>
      <c r="H23" s="67"/>
      <c r="I23" s="116"/>
      <c r="J23" s="67"/>
      <c r="K23" s="168">
        <f>SUM(K24:K31)</f>
        <v>155500</v>
      </c>
      <c r="L23" s="168">
        <f t="shared" ref="L23:AF23" si="8">SUM(L24:L31)</f>
        <v>0</v>
      </c>
      <c r="M23" s="168">
        <f t="shared" si="8"/>
        <v>155500</v>
      </c>
      <c r="N23" s="168">
        <f t="shared" si="8"/>
        <v>0</v>
      </c>
      <c r="O23" s="168">
        <f t="shared" si="8"/>
        <v>0</v>
      </c>
      <c r="P23" s="168">
        <f t="shared" si="8"/>
        <v>0</v>
      </c>
      <c r="Q23" s="168">
        <f t="shared" si="8"/>
        <v>20000</v>
      </c>
      <c r="R23" s="168">
        <f t="shared" si="8"/>
        <v>0</v>
      </c>
      <c r="S23" s="168">
        <f t="shared" si="8"/>
        <v>56000</v>
      </c>
      <c r="T23" s="168">
        <f t="shared" si="8"/>
        <v>56000</v>
      </c>
      <c r="U23" s="168">
        <f t="shared" si="8"/>
        <v>28000</v>
      </c>
      <c r="V23" s="168">
        <f t="shared" si="8"/>
        <v>30000</v>
      </c>
      <c r="W23" s="168"/>
      <c r="X23" s="168">
        <f t="shared" si="8"/>
        <v>0</v>
      </c>
      <c r="Y23" s="168">
        <f t="shared" si="8"/>
        <v>0</v>
      </c>
      <c r="Z23" s="168">
        <f t="shared" si="8"/>
        <v>0</v>
      </c>
      <c r="AA23" s="168">
        <f t="shared" si="8"/>
        <v>0</v>
      </c>
      <c r="AB23" s="168">
        <f t="shared" si="8"/>
        <v>0</v>
      </c>
      <c r="AC23" s="168">
        <f t="shared" si="8"/>
        <v>0</v>
      </c>
      <c r="AD23" s="168">
        <f t="shared" si="8"/>
        <v>0</v>
      </c>
      <c r="AE23" s="168">
        <f t="shared" si="8"/>
        <v>0</v>
      </c>
      <c r="AF23" s="168">
        <f t="shared" si="8"/>
        <v>0</v>
      </c>
      <c r="AG23" s="170"/>
      <c r="AH23" s="251"/>
    </row>
    <row r="24" spans="1:34" s="715" customFormat="1" ht="65.25" customHeight="1">
      <c r="A24" s="369">
        <f>MAX(A$13:$A23)+1</f>
        <v>7</v>
      </c>
      <c r="B24" s="162" t="s">
        <v>1866</v>
      </c>
      <c r="C24" s="166" t="s">
        <v>1092</v>
      </c>
      <c r="D24" s="72" t="s">
        <v>84</v>
      </c>
      <c r="E24" s="72" t="s">
        <v>84</v>
      </c>
      <c r="F24" s="163" t="s">
        <v>311</v>
      </c>
      <c r="G24" s="72" t="s">
        <v>1093</v>
      </c>
      <c r="H24" s="164" t="s">
        <v>1094</v>
      </c>
      <c r="I24" s="72" t="s">
        <v>607</v>
      </c>
      <c r="J24" s="148"/>
      <c r="K24" s="75">
        <v>25000</v>
      </c>
      <c r="L24" s="75">
        <v>0</v>
      </c>
      <c r="M24" s="75">
        <v>25000</v>
      </c>
      <c r="N24" s="165"/>
      <c r="O24" s="150"/>
      <c r="P24" s="150"/>
      <c r="Q24" s="151"/>
      <c r="R24" s="152"/>
      <c r="S24" s="75">
        <v>25000</v>
      </c>
      <c r="T24" s="75">
        <v>25000</v>
      </c>
      <c r="U24" s="75">
        <v>12500</v>
      </c>
      <c r="V24" s="75">
        <v>5000</v>
      </c>
      <c r="W24" s="153"/>
      <c r="X24" s="55"/>
      <c r="Y24" s="55"/>
      <c r="Z24" s="55"/>
      <c r="AA24" s="55"/>
      <c r="AB24" s="154"/>
      <c r="AC24" s="114"/>
      <c r="AD24" s="114"/>
      <c r="AE24" s="114"/>
      <c r="AF24" s="114"/>
      <c r="AH24" s="716"/>
    </row>
    <row r="25" spans="1:34" s="715" customFormat="1" ht="53.4" customHeight="1">
      <c r="A25" s="369">
        <f>MAX(A$13:$A24)+1</f>
        <v>8</v>
      </c>
      <c r="B25" s="162" t="s">
        <v>1095</v>
      </c>
      <c r="C25" s="166" t="s">
        <v>1092</v>
      </c>
      <c r="D25" s="72" t="s">
        <v>84</v>
      </c>
      <c r="E25" s="72" t="s">
        <v>84</v>
      </c>
      <c r="F25" s="163" t="s">
        <v>313</v>
      </c>
      <c r="G25" s="72" t="s">
        <v>1096</v>
      </c>
      <c r="H25" s="164" t="s">
        <v>1094</v>
      </c>
      <c r="I25" s="72" t="s">
        <v>607</v>
      </c>
      <c r="J25" s="148"/>
      <c r="K25" s="75">
        <v>11000</v>
      </c>
      <c r="L25" s="75">
        <v>0</v>
      </c>
      <c r="M25" s="75">
        <v>11000</v>
      </c>
      <c r="N25" s="165"/>
      <c r="O25" s="150"/>
      <c r="P25" s="150"/>
      <c r="Q25" s="151"/>
      <c r="R25" s="152"/>
      <c r="S25" s="75">
        <v>11000</v>
      </c>
      <c r="T25" s="75">
        <v>11000</v>
      </c>
      <c r="U25" s="75">
        <v>5500</v>
      </c>
      <c r="V25" s="75">
        <v>2000</v>
      </c>
      <c r="W25" s="153"/>
      <c r="X25" s="55"/>
      <c r="Y25" s="55"/>
      <c r="Z25" s="55"/>
      <c r="AA25" s="55"/>
      <c r="AB25" s="154"/>
      <c r="AC25" s="114"/>
      <c r="AD25" s="114"/>
      <c r="AE25" s="114"/>
      <c r="AF25" s="114"/>
      <c r="AH25" s="716"/>
    </row>
    <row r="26" spans="1:34" s="715" customFormat="1" ht="69.75" customHeight="1">
      <c r="A26" s="369">
        <f>MAX(A$13:$A25)+1</f>
        <v>9</v>
      </c>
      <c r="B26" s="162" t="s">
        <v>1242</v>
      </c>
      <c r="C26" s="166" t="s">
        <v>1207</v>
      </c>
      <c r="D26" s="72" t="s">
        <v>84</v>
      </c>
      <c r="E26" s="72" t="s">
        <v>84</v>
      </c>
      <c r="F26" s="163" t="s">
        <v>325</v>
      </c>
      <c r="G26" s="72"/>
      <c r="H26" s="164" t="s">
        <v>1243</v>
      </c>
      <c r="I26" s="72" t="s">
        <v>568</v>
      </c>
      <c r="J26" s="148"/>
      <c r="K26" s="75">
        <v>20000</v>
      </c>
      <c r="L26" s="75"/>
      <c r="M26" s="75">
        <v>20000</v>
      </c>
      <c r="N26" s="165"/>
      <c r="O26" s="150"/>
      <c r="P26" s="150"/>
      <c r="Q26" s="151">
        <v>20000</v>
      </c>
      <c r="R26" s="152"/>
      <c r="S26" s="75">
        <v>20000</v>
      </c>
      <c r="T26" s="75">
        <v>20000</v>
      </c>
      <c r="U26" s="75">
        <v>10000</v>
      </c>
      <c r="V26" s="75">
        <v>5000</v>
      </c>
      <c r="W26" s="153"/>
      <c r="X26" s="55"/>
      <c r="Y26" s="55"/>
      <c r="Z26" s="55"/>
      <c r="AA26" s="55"/>
      <c r="AB26" s="154"/>
      <c r="AC26" s="114"/>
      <c r="AD26" s="114"/>
      <c r="AE26" s="114"/>
      <c r="AF26" s="114"/>
      <c r="AH26" s="716"/>
    </row>
    <row r="27" spans="1:34" s="715" customFormat="1" ht="69.75" customHeight="1">
      <c r="A27" s="369">
        <f>MAX(A$13:$A26)+1</f>
        <v>10</v>
      </c>
      <c r="B27" s="162" t="s">
        <v>1220</v>
      </c>
      <c r="C27" s="166" t="s">
        <v>1207</v>
      </c>
      <c r="D27" s="72"/>
      <c r="E27" s="72" t="str">
        <f t="shared" ref="E27:E28" si="9">IF(L27&gt;=45000,"B","C")</f>
        <v>C</v>
      </c>
      <c r="F27" s="163" t="s">
        <v>324</v>
      </c>
      <c r="G27" s="72"/>
      <c r="H27" s="164"/>
      <c r="I27" s="72" t="s">
        <v>568</v>
      </c>
      <c r="J27" s="148"/>
      <c r="K27" s="75">
        <v>20000</v>
      </c>
      <c r="L27" s="75"/>
      <c r="M27" s="75">
        <v>20000</v>
      </c>
      <c r="N27" s="165"/>
      <c r="O27" s="150"/>
      <c r="P27" s="150"/>
      <c r="Q27" s="151"/>
      <c r="R27" s="152"/>
      <c r="S27" s="75"/>
      <c r="T27" s="75"/>
      <c r="U27" s="75"/>
      <c r="V27" s="75">
        <v>5000</v>
      </c>
      <c r="W27" s="153"/>
      <c r="X27" s="55"/>
      <c r="Y27" s="55"/>
      <c r="Z27" s="55"/>
      <c r="AA27" s="55"/>
      <c r="AB27" s="154"/>
      <c r="AC27" s="114"/>
      <c r="AD27" s="114"/>
      <c r="AE27" s="114"/>
      <c r="AF27" s="114"/>
      <c r="AH27" s="716"/>
    </row>
    <row r="28" spans="1:34" s="715" customFormat="1" ht="74.25" customHeight="1">
      <c r="A28" s="369">
        <f>MAX(A$13:$A27)+1</f>
        <v>11</v>
      </c>
      <c r="B28" s="162" t="s">
        <v>1221</v>
      </c>
      <c r="C28" s="166" t="s">
        <v>1207</v>
      </c>
      <c r="D28" s="72"/>
      <c r="E28" s="72" t="str">
        <f t="shared" si="9"/>
        <v>C</v>
      </c>
      <c r="F28" s="163" t="s">
        <v>1222</v>
      </c>
      <c r="G28" s="72"/>
      <c r="H28" s="164"/>
      <c r="I28" s="72" t="s">
        <v>568</v>
      </c>
      <c r="J28" s="148"/>
      <c r="K28" s="75">
        <v>20000</v>
      </c>
      <c r="L28" s="75"/>
      <c r="M28" s="75">
        <v>20000</v>
      </c>
      <c r="N28" s="165"/>
      <c r="O28" s="150"/>
      <c r="P28" s="150"/>
      <c r="Q28" s="151"/>
      <c r="R28" s="152"/>
      <c r="S28" s="75"/>
      <c r="T28" s="75"/>
      <c r="U28" s="75"/>
      <c r="V28" s="75">
        <v>5000</v>
      </c>
      <c r="W28" s="153"/>
      <c r="X28" s="55"/>
      <c r="Y28" s="55"/>
      <c r="Z28" s="55"/>
      <c r="AA28" s="55"/>
      <c r="AB28" s="154"/>
      <c r="AC28" s="114"/>
      <c r="AD28" s="114"/>
      <c r="AE28" s="114"/>
      <c r="AF28" s="114"/>
      <c r="AH28" s="716">
        <v>1</v>
      </c>
    </row>
    <row r="29" spans="1:34" s="715" customFormat="1" ht="74.25" customHeight="1">
      <c r="A29" s="369">
        <f>MAX(A$13:$A28)+1</f>
        <v>12</v>
      </c>
      <c r="B29" s="162" t="s">
        <v>1213</v>
      </c>
      <c r="C29" s="166" t="s">
        <v>1207</v>
      </c>
      <c r="D29" s="72"/>
      <c r="E29" s="72" t="s">
        <v>84</v>
      </c>
      <c r="F29" s="163" t="s">
        <v>339</v>
      </c>
      <c r="G29" s="72"/>
      <c r="H29" s="164"/>
      <c r="I29" s="72" t="s">
        <v>568</v>
      </c>
      <c r="J29" s="148"/>
      <c r="K29" s="75">
        <v>20000</v>
      </c>
      <c r="L29" s="75"/>
      <c r="M29" s="75">
        <v>20000</v>
      </c>
      <c r="N29" s="165"/>
      <c r="O29" s="150"/>
      <c r="P29" s="150"/>
      <c r="Q29" s="151"/>
      <c r="R29" s="152"/>
      <c r="S29" s="75"/>
      <c r="T29" s="75"/>
      <c r="U29" s="75"/>
      <c r="V29" s="75">
        <v>3000</v>
      </c>
      <c r="W29" s="153"/>
      <c r="X29" s="55"/>
      <c r="Y29" s="55"/>
      <c r="Z29" s="55"/>
      <c r="AA29" s="55"/>
      <c r="AB29" s="154"/>
      <c r="AC29" s="114"/>
      <c r="AD29" s="114"/>
      <c r="AE29" s="114"/>
      <c r="AF29" s="114"/>
      <c r="AH29" s="716"/>
    </row>
    <row r="30" spans="1:34" s="715" customFormat="1" ht="74.25" customHeight="1">
      <c r="A30" s="369">
        <f>MAX(A$13:$A29)+1</f>
        <v>13</v>
      </c>
      <c r="B30" s="162" t="s">
        <v>1214</v>
      </c>
      <c r="C30" s="166" t="s">
        <v>1207</v>
      </c>
      <c r="D30" s="72"/>
      <c r="E30" s="72" t="s">
        <v>84</v>
      </c>
      <c r="F30" s="163" t="s">
        <v>335</v>
      </c>
      <c r="G30" s="72"/>
      <c r="H30" s="164"/>
      <c r="I30" s="72" t="s">
        <v>568</v>
      </c>
      <c r="J30" s="148"/>
      <c r="K30" s="75">
        <v>14500</v>
      </c>
      <c r="L30" s="75"/>
      <c r="M30" s="75">
        <v>14500</v>
      </c>
      <c r="N30" s="165"/>
      <c r="O30" s="150"/>
      <c r="P30" s="150"/>
      <c r="Q30" s="151"/>
      <c r="R30" s="152"/>
      <c r="S30" s="75"/>
      <c r="T30" s="75"/>
      <c r="U30" s="75"/>
      <c r="V30" s="75">
        <v>2000</v>
      </c>
      <c r="W30" s="153"/>
      <c r="X30" s="55"/>
      <c r="Y30" s="55"/>
      <c r="Z30" s="55"/>
      <c r="AA30" s="55"/>
      <c r="AB30" s="154"/>
      <c r="AC30" s="114"/>
      <c r="AD30" s="114"/>
      <c r="AE30" s="114"/>
      <c r="AF30" s="114"/>
      <c r="AH30" s="716"/>
    </row>
    <row r="31" spans="1:34" s="715" customFormat="1" ht="74.25" customHeight="1">
      <c r="A31" s="415">
        <f>MAX(A$13:$A30)+1</f>
        <v>14</v>
      </c>
      <c r="B31" s="624" t="s">
        <v>1215</v>
      </c>
      <c r="C31" s="625" t="s">
        <v>1207</v>
      </c>
      <c r="D31" s="458"/>
      <c r="E31" s="458" t="s">
        <v>84</v>
      </c>
      <c r="F31" s="626" t="s">
        <v>341</v>
      </c>
      <c r="G31" s="458"/>
      <c r="H31" s="627"/>
      <c r="I31" s="458" t="s">
        <v>568</v>
      </c>
      <c r="J31" s="628"/>
      <c r="K31" s="629">
        <v>25000</v>
      </c>
      <c r="L31" s="629"/>
      <c r="M31" s="629">
        <v>25000</v>
      </c>
      <c r="N31" s="630"/>
      <c r="O31" s="631"/>
      <c r="P31" s="631"/>
      <c r="Q31" s="632"/>
      <c r="R31" s="633"/>
      <c r="S31" s="629"/>
      <c r="T31" s="629"/>
      <c r="U31" s="629"/>
      <c r="V31" s="629">
        <v>3000</v>
      </c>
      <c r="W31" s="634"/>
      <c r="X31" s="55"/>
      <c r="Y31" s="55"/>
      <c r="Z31" s="55"/>
      <c r="AA31" s="55"/>
      <c r="AB31" s="154"/>
      <c r="AC31" s="114"/>
      <c r="AD31" s="114"/>
      <c r="AE31" s="114"/>
      <c r="AF31" s="114"/>
      <c r="AH31" s="716"/>
    </row>
    <row r="32" spans="1:34">
      <c r="A32" s="227"/>
      <c r="B32" s="170"/>
      <c r="C32" s="170"/>
      <c r="D32" s="46"/>
      <c r="E32" s="46"/>
      <c r="F32" s="46"/>
      <c r="G32" s="229"/>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row>
    <row r="33" spans="1:33">
      <c r="A33" s="227"/>
      <c r="B33" s="228"/>
      <c r="C33" s="170"/>
      <c r="D33" s="46"/>
      <c r="E33" s="46"/>
      <c r="F33" s="46"/>
      <c r="G33" s="229"/>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row>
    <row r="34" spans="1:33">
      <c r="A34" s="227"/>
      <c r="B34" s="228"/>
      <c r="C34" s="170"/>
      <c r="D34" s="46"/>
      <c r="E34" s="46"/>
      <c r="F34" s="46"/>
      <c r="G34" s="229"/>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row>
    <row r="35" spans="1:33">
      <c r="A35" s="227"/>
      <c r="B35" s="228"/>
      <c r="C35" s="170"/>
      <c r="D35" s="46"/>
      <c r="E35" s="46"/>
      <c r="F35" s="46"/>
      <c r="G35" s="229"/>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row>
    <row r="36" spans="1:33">
      <c r="A36" s="227"/>
      <c r="B36" s="228"/>
      <c r="C36" s="170"/>
      <c r="D36" s="46"/>
      <c r="E36" s="46"/>
      <c r="F36" s="46"/>
      <c r="G36" s="229"/>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row>
    <row r="37" spans="1:33">
      <c r="A37" s="227"/>
      <c r="B37" s="228"/>
      <c r="C37" s="170"/>
      <c r="D37" s="46"/>
      <c r="E37" s="46"/>
      <c r="F37" s="46"/>
      <c r="G37" s="229"/>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row>
    <row r="38" spans="1:33">
      <c r="A38" s="227"/>
      <c r="B38" s="228"/>
      <c r="C38" s="170"/>
      <c r="D38" s="46"/>
      <c r="E38" s="46"/>
      <c r="F38" s="46"/>
      <c r="G38" s="229"/>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row>
    <row r="39" spans="1:33">
      <c r="A39" s="227"/>
      <c r="B39" s="228"/>
      <c r="C39" s="170"/>
      <c r="D39" s="46"/>
      <c r="E39" s="46"/>
      <c r="F39" s="46"/>
      <c r="G39" s="229"/>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row>
  </sheetData>
  <mergeCells count="30">
    <mergeCell ref="Q6:S9"/>
    <mergeCell ref="T6:T9"/>
    <mergeCell ref="U6:U9"/>
    <mergeCell ref="V6:V9"/>
    <mergeCell ref="W6:W9"/>
    <mergeCell ref="F6:F9"/>
    <mergeCell ref="G6:G9"/>
    <mergeCell ref="H6:H9"/>
    <mergeCell ref="I6:I9"/>
    <mergeCell ref="J6:M6"/>
    <mergeCell ref="J7:J9"/>
    <mergeCell ref="K7:K9"/>
    <mergeCell ref="L7:M7"/>
    <mergeCell ref="N6:P6"/>
    <mergeCell ref="L8:L9"/>
    <mergeCell ref="M8:M9"/>
    <mergeCell ref="O8:O9"/>
    <mergeCell ref="P8:P9"/>
    <mergeCell ref="N7:N9"/>
    <mergeCell ref="O7:P7"/>
    <mergeCell ref="A1:W1"/>
    <mergeCell ref="A2:W2"/>
    <mergeCell ref="A3:W3"/>
    <mergeCell ref="A4:W4"/>
    <mergeCell ref="V5:W5"/>
    <mergeCell ref="A6:A9"/>
    <mergeCell ref="B6:B9"/>
    <mergeCell ref="C6:C9"/>
    <mergeCell ref="D6:D9"/>
    <mergeCell ref="E6:E9"/>
  </mergeCells>
  <conditionalFormatting sqref="B27">
    <cfRule type="duplicateValues" dxfId="2" priority="2"/>
  </conditionalFormatting>
  <conditionalFormatting sqref="B28">
    <cfRule type="duplicateValues" dxfId="1" priority="3"/>
  </conditionalFormatting>
  <conditionalFormatting sqref="B29:B31">
    <cfRule type="duplicateValues" dxfId="0" priority="1"/>
  </conditionalFormatting>
  <pageMargins left="0.70866141732283472" right="0.70866141732283472" top="0.74803149606299213" bottom="0.74803149606299213" header="0.31496062992125984" footer="0.31496062992125984"/>
  <pageSetup paperSize="9" scale="65" orientation="landscape" r:id="rId1"/>
  <headerFooter>
    <oddFooter>&amp;R&amp;P/&amp;N</oddFooter>
  </headerFooter>
  <colBreaks count="1" manualBreakCount="1">
    <brk id="32"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G475"/>
  <sheetViews>
    <sheetView topLeftCell="A226" zoomScaleNormal="100" workbookViewId="0">
      <selection activeCell="Q6" sqref="Q6:S9"/>
    </sheetView>
  </sheetViews>
  <sheetFormatPr defaultRowHeight="14.4" outlineLevelCol="1"/>
  <cols>
    <col min="1" max="1" width="5.44140625" style="230" customWidth="1"/>
    <col min="2" max="2" width="28.88671875" style="231" customWidth="1"/>
    <col min="3" max="3" width="15.33203125" customWidth="1"/>
    <col min="4" max="4" width="6.6640625" customWidth="1"/>
    <col min="5" max="5" width="7.33203125" hidden="1" customWidth="1" outlineLevel="1"/>
    <col min="6" max="6" width="10.44140625" style="232" hidden="1" customWidth="1" outlineLevel="1"/>
    <col min="7" max="7" width="13.44140625" style="17" hidden="1" customWidth="1" outlineLevel="1"/>
    <col min="8" max="8" width="19.44140625" hidden="1" customWidth="1" outlineLevel="1"/>
    <col min="9" max="9" width="7.109375" customWidth="1" collapsed="1"/>
    <col min="10" max="10" width="9.6640625" hidden="1" customWidth="1"/>
    <col min="11" max="11" width="13" customWidth="1"/>
    <col min="12" max="12" width="11.33203125" bestFit="1" customWidth="1"/>
    <col min="13" max="13" width="12.44140625" bestFit="1" customWidth="1"/>
    <col min="14" max="15" width="8.88671875" hidden="1" customWidth="1"/>
    <col min="16" max="16" width="11.109375" hidden="1" customWidth="1"/>
    <col min="17" max="18" width="12.44140625" hidden="1" customWidth="1"/>
    <col min="19" max="20" width="13.44140625" customWidth="1"/>
    <col min="21" max="21" width="13.44140625" hidden="1" customWidth="1"/>
    <col min="22" max="22" width="10.88671875" customWidth="1"/>
    <col min="23" max="23" width="13.33203125" hidden="1" customWidth="1" outlineLevel="1"/>
    <col min="24" max="24" width="5.33203125" hidden="1" customWidth="1" outlineLevel="1"/>
    <col min="25" max="26" width="4.88671875" hidden="1" customWidth="1" outlineLevel="1"/>
    <col min="27" max="27" width="22.109375" hidden="1" customWidth="1" outlineLevel="1"/>
    <col min="28" max="28" width="24.6640625" hidden="1" customWidth="1" outlineLevel="1"/>
    <col min="29" max="29" width="28.44140625" hidden="1" customWidth="1" outlineLevel="1"/>
    <col min="30" max="31" width="18.33203125" hidden="1" customWidth="1" outlineLevel="1"/>
    <col min="32" max="32" width="9.109375" customWidth="1" collapsed="1"/>
    <col min="259" max="259" width="5.44140625" customWidth="1"/>
    <col min="260" max="260" width="28.88671875" customWidth="1"/>
    <col min="261" max="261" width="15.33203125" customWidth="1"/>
    <col min="262" max="262" width="6.6640625" customWidth="1"/>
    <col min="263" max="263" width="7.33203125" customWidth="1"/>
    <col min="264" max="264" width="10.44140625" customWidth="1"/>
    <col min="265" max="265" width="13.44140625" customWidth="1"/>
    <col min="266" max="266" width="19.44140625" customWidth="1"/>
    <col min="267" max="267" width="7.109375" customWidth="1"/>
    <col min="268" max="268" width="0" hidden="1" customWidth="1"/>
    <col min="269" max="269" width="13" customWidth="1"/>
    <col min="270" max="270" width="11.33203125" bestFit="1" customWidth="1"/>
    <col min="271" max="271" width="12.44140625" bestFit="1" customWidth="1"/>
    <col min="272" max="276" width="0" hidden="1" customWidth="1"/>
    <col min="277" max="277" width="13.44140625" customWidth="1"/>
    <col min="278" max="278" width="10.88671875" customWidth="1"/>
    <col min="279" max="287" width="0" hidden="1" customWidth="1"/>
    <col min="515" max="515" width="5.44140625" customWidth="1"/>
    <col min="516" max="516" width="28.88671875" customWidth="1"/>
    <col min="517" max="517" width="15.33203125" customWidth="1"/>
    <col min="518" max="518" width="6.6640625" customWidth="1"/>
    <col min="519" max="519" width="7.33203125" customWidth="1"/>
    <col min="520" max="520" width="10.44140625" customWidth="1"/>
    <col min="521" max="521" width="13.44140625" customWidth="1"/>
    <col min="522" max="522" width="19.44140625" customWidth="1"/>
    <col min="523" max="523" width="7.109375" customWidth="1"/>
    <col min="524" max="524" width="0" hidden="1" customWidth="1"/>
    <col min="525" max="525" width="13" customWidth="1"/>
    <col min="526" max="526" width="11.33203125" bestFit="1" customWidth="1"/>
    <col min="527" max="527" width="12.44140625" bestFit="1" customWidth="1"/>
    <col min="528" max="532" width="0" hidden="1" customWidth="1"/>
    <col min="533" max="533" width="13.44140625" customWidth="1"/>
    <col min="534" max="534" width="10.88671875" customWidth="1"/>
    <col min="535" max="543" width="0" hidden="1" customWidth="1"/>
    <col min="771" max="771" width="5.44140625" customWidth="1"/>
    <col min="772" max="772" width="28.88671875" customWidth="1"/>
    <col min="773" max="773" width="15.33203125" customWidth="1"/>
    <col min="774" max="774" width="6.6640625" customWidth="1"/>
    <col min="775" max="775" width="7.33203125" customWidth="1"/>
    <col min="776" max="776" width="10.44140625" customWidth="1"/>
    <col min="777" max="777" width="13.44140625" customWidth="1"/>
    <col min="778" max="778" width="19.44140625" customWidth="1"/>
    <col min="779" max="779" width="7.109375" customWidth="1"/>
    <col min="780" max="780" width="0" hidden="1" customWidth="1"/>
    <col min="781" max="781" width="13" customWidth="1"/>
    <col min="782" max="782" width="11.33203125" bestFit="1" customWidth="1"/>
    <col min="783" max="783" width="12.44140625" bestFit="1" customWidth="1"/>
    <col min="784" max="788" width="0" hidden="1" customWidth="1"/>
    <col min="789" max="789" width="13.44140625" customWidth="1"/>
    <col min="790" max="790" width="10.88671875" customWidth="1"/>
    <col min="791" max="799" width="0" hidden="1" customWidth="1"/>
    <col min="1027" max="1027" width="5.44140625" customWidth="1"/>
    <col min="1028" max="1028" width="28.88671875" customWidth="1"/>
    <col min="1029" max="1029" width="15.33203125" customWidth="1"/>
    <col min="1030" max="1030" width="6.6640625" customWidth="1"/>
    <col min="1031" max="1031" width="7.33203125" customWidth="1"/>
    <col min="1032" max="1032" width="10.44140625" customWidth="1"/>
    <col min="1033" max="1033" width="13.44140625" customWidth="1"/>
    <col min="1034" max="1034" width="19.44140625" customWidth="1"/>
    <col min="1035" max="1035" width="7.109375" customWidth="1"/>
    <col min="1036" max="1036" width="0" hidden="1" customWidth="1"/>
    <col min="1037" max="1037" width="13" customWidth="1"/>
    <col min="1038" max="1038" width="11.33203125" bestFit="1" customWidth="1"/>
    <col min="1039" max="1039" width="12.44140625" bestFit="1" customWidth="1"/>
    <col min="1040" max="1044" width="0" hidden="1" customWidth="1"/>
    <col min="1045" max="1045" width="13.44140625" customWidth="1"/>
    <col min="1046" max="1046" width="10.88671875" customWidth="1"/>
    <col min="1047" max="1055" width="0" hidden="1" customWidth="1"/>
    <col min="1283" max="1283" width="5.44140625" customWidth="1"/>
    <col min="1284" max="1284" width="28.88671875" customWidth="1"/>
    <col min="1285" max="1285" width="15.33203125" customWidth="1"/>
    <col min="1286" max="1286" width="6.6640625" customWidth="1"/>
    <col min="1287" max="1287" width="7.33203125" customWidth="1"/>
    <col min="1288" max="1288" width="10.44140625" customWidth="1"/>
    <col min="1289" max="1289" width="13.44140625" customWidth="1"/>
    <col min="1290" max="1290" width="19.44140625" customWidth="1"/>
    <col min="1291" max="1291" width="7.109375" customWidth="1"/>
    <col min="1292" max="1292" width="0" hidden="1" customWidth="1"/>
    <col min="1293" max="1293" width="13" customWidth="1"/>
    <col min="1294" max="1294" width="11.33203125" bestFit="1" customWidth="1"/>
    <col min="1295" max="1295" width="12.44140625" bestFit="1" customWidth="1"/>
    <col min="1296" max="1300" width="0" hidden="1" customWidth="1"/>
    <col min="1301" max="1301" width="13.44140625" customWidth="1"/>
    <col min="1302" max="1302" width="10.88671875" customWidth="1"/>
    <col min="1303" max="1311" width="0" hidden="1" customWidth="1"/>
    <col min="1539" max="1539" width="5.44140625" customWidth="1"/>
    <col min="1540" max="1540" width="28.88671875" customWidth="1"/>
    <col min="1541" max="1541" width="15.33203125" customWidth="1"/>
    <col min="1542" max="1542" width="6.6640625" customWidth="1"/>
    <col min="1543" max="1543" width="7.33203125" customWidth="1"/>
    <col min="1544" max="1544" width="10.44140625" customWidth="1"/>
    <col min="1545" max="1545" width="13.44140625" customWidth="1"/>
    <col min="1546" max="1546" width="19.44140625" customWidth="1"/>
    <col min="1547" max="1547" width="7.109375" customWidth="1"/>
    <col min="1548" max="1548" width="0" hidden="1" customWidth="1"/>
    <col min="1549" max="1549" width="13" customWidth="1"/>
    <col min="1550" max="1550" width="11.33203125" bestFit="1" customWidth="1"/>
    <col min="1551" max="1551" width="12.44140625" bestFit="1" customWidth="1"/>
    <col min="1552" max="1556" width="0" hidden="1" customWidth="1"/>
    <col min="1557" max="1557" width="13.44140625" customWidth="1"/>
    <col min="1558" max="1558" width="10.88671875" customWidth="1"/>
    <col min="1559" max="1567" width="0" hidden="1" customWidth="1"/>
    <col min="1795" max="1795" width="5.44140625" customWidth="1"/>
    <col min="1796" max="1796" width="28.88671875" customWidth="1"/>
    <col min="1797" max="1797" width="15.33203125" customWidth="1"/>
    <col min="1798" max="1798" width="6.6640625" customWidth="1"/>
    <col min="1799" max="1799" width="7.33203125" customWidth="1"/>
    <col min="1800" max="1800" width="10.44140625" customWidth="1"/>
    <col min="1801" max="1801" width="13.44140625" customWidth="1"/>
    <col min="1802" max="1802" width="19.44140625" customWidth="1"/>
    <col min="1803" max="1803" width="7.109375" customWidth="1"/>
    <col min="1804" max="1804" width="0" hidden="1" customWidth="1"/>
    <col min="1805" max="1805" width="13" customWidth="1"/>
    <col min="1806" max="1806" width="11.33203125" bestFit="1" customWidth="1"/>
    <col min="1807" max="1807" width="12.44140625" bestFit="1" customWidth="1"/>
    <col min="1808" max="1812" width="0" hidden="1" customWidth="1"/>
    <col min="1813" max="1813" width="13.44140625" customWidth="1"/>
    <col min="1814" max="1814" width="10.88671875" customWidth="1"/>
    <col min="1815" max="1823" width="0" hidden="1" customWidth="1"/>
    <col min="2051" max="2051" width="5.44140625" customWidth="1"/>
    <col min="2052" max="2052" width="28.88671875" customWidth="1"/>
    <col min="2053" max="2053" width="15.33203125" customWidth="1"/>
    <col min="2054" max="2054" width="6.6640625" customWidth="1"/>
    <col min="2055" max="2055" width="7.33203125" customWidth="1"/>
    <col min="2056" max="2056" width="10.44140625" customWidth="1"/>
    <col min="2057" max="2057" width="13.44140625" customWidth="1"/>
    <col min="2058" max="2058" width="19.44140625" customWidth="1"/>
    <col min="2059" max="2059" width="7.109375" customWidth="1"/>
    <col min="2060" max="2060" width="0" hidden="1" customWidth="1"/>
    <col min="2061" max="2061" width="13" customWidth="1"/>
    <col min="2062" max="2062" width="11.33203125" bestFit="1" customWidth="1"/>
    <col min="2063" max="2063" width="12.44140625" bestFit="1" customWidth="1"/>
    <col min="2064" max="2068" width="0" hidden="1" customWidth="1"/>
    <col min="2069" max="2069" width="13.44140625" customWidth="1"/>
    <col min="2070" max="2070" width="10.88671875" customWidth="1"/>
    <col min="2071" max="2079" width="0" hidden="1" customWidth="1"/>
    <col min="2307" max="2307" width="5.44140625" customWidth="1"/>
    <col min="2308" max="2308" width="28.88671875" customWidth="1"/>
    <col min="2309" max="2309" width="15.33203125" customWidth="1"/>
    <col min="2310" max="2310" width="6.6640625" customWidth="1"/>
    <col min="2311" max="2311" width="7.33203125" customWidth="1"/>
    <col min="2312" max="2312" width="10.44140625" customWidth="1"/>
    <col min="2313" max="2313" width="13.44140625" customWidth="1"/>
    <col min="2314" max="2314" width="19.44140625" customWidth="1"/>
    <col min="2315" max="2315" width="7.109375" customWidth="1"/>
    <col min="2316" max="2316" width="0" hidden="1" customWidth="1"/>
    <col min="2317" max="2317" width="13" customWidth="1"/>
    <col min="2318" max="2318" width="11.33203125" bestFit="1" customWidth="1"/>
    <col min="2319" max="2319" width="12.44140625" bestFit="1" customWidth="1"/>
    <col min="2320" max="2324" width="0" hidden="1" customWidth="1"/>
    <col min="2325" max="2325" width="13.44140625" customWidth="1"/>
    <col min="2326" max="2326" width="10.88671875" customWidth="1"/>
    <col min="2327" max="2335" width="0" hidden="1" customWidth="1"/>
    <col min="2563" max="2563" width="5.44140625" customWidth="1"/>
    <col min="2564" max="2564" width="28.88671875" customWidth="1"/>
    <col min="2565" max="2565" width="15.33203125" customWidth="1"/>
    <col min="2566" max="2566" width="6.6640625" customWidth="1"/>
    <col min="2567" max="2567" width="7.33203125" customWidth="1"/>
    <col min="2568" max="2568" width="10.44140625" customWidth="1"/>
    <col min="2569" max="2569" width="13.44140625" customWidth="1"/>
    <col min="2570" max="2570" width="19.44140625" customWidth="1"/>
    <col min="2571" max="2571" width="7.109375" customWidth="1"/>
    <col min="2572" max="2572" width="0" hidden="1" customWidth="1"/>
    <col min="2573" max="2573" width="13" customWidth="1"/>
    <col min="2574" max="2574" width="11.33203125" bestFit="1" customWidth="1"/>
    <col min="2575" max="2575" width="12.44140625" bestFit="1" customWidth="1"/>
    <col min="2576" max="2580" width="0" hidden="1" customWidth="1"/>
    <col min="2581" max="2581" width="13.44140625" customWidth="1"/>
    <col min="2582" max="2582" width="10.88671875" customWidth="1"/>
    <col min="2583" max="2591" width="0" hidden="1" customWidth="1"/>
    <col min="2819" max="2819" width="5.44140625" customWidth="1"/>
    <col min="2820" max="2820" width="28.88671875" customWidth="1"/>
    <col min="2821" max="2821" width="15.33203125" customWidth="1"/>
    <col min="2822" max="2822" width="6.6640625" customWidth="1"/>
    <col min="2823" max="2823" width="7.33203125" customWidth="1"/>
    <col min="2824" max="2824" width="10.44140625" customWidth="1"/>
    <col min="2825" max="2825" width="13.44140625" customWidth="1"/>
    <col min="2826" max="2826" width="19.44140625" customWidth="1"/>
    <col min="2827" max="2827" width="7.109375" customWidth="1"/>
    <col min="2828" max="2828" width="0" hidden="1" customWidth="1"/>
    <col min="2829" max="2829" width="13" customWidth="1"/>
    <col min="2830" max="2830" width="11.33203125" bestFit="1" customWidth="1"/>
    <col min="2831" max="2831" width="12.44140625" bestFit="1" customWidth="1"/>
    <col min="2832" max="2836" width="0" hidden="1" customWidth="1"/>
    <col min="2837" max="2837" width="13.44140625" customWidth="1"/>
    <col min="2838" max="2838" width="10.88671875" customWidth="1"/>
    <col min="2839" max="2847" width="0" hidden="1" customWidth="1"/>
    <col min="3075" max="3075" width="5.44140625" customWidth="1"/>
    <col min="3076" max="3076" width="28.88671875" customWidth="1"/>
    <col min="3077" max="3077" width="15.33203125" customWidth="1"/>
    <col min="3078" max="3078" width="6.6640625" customWidth="1"/>
    <col min="3079" max="3079" width="7.33203125" customWidth="1"/>
    <col min="3080" max="3080" width="10.44140625" customWidth="1"/>
    <col min="3081" max="3081" width="13.44140625" customWidth="1"/>
    <col min="3082" max="3082" width="19.44140625" customWidth="1"/>
    <col min="3083" max="3083" width="7.109375" customWidth="1"/>
    <col min="3084" max="3084" width="0" hidden="1" customWidth="1"/>
    <col min="3085" max="3085" width="13" customWidth="1"/>
    <col min="3086" max="3086" width="11.33203125" bestFit="1" customWidth="1"/>
    <col min="3087" max="3087" width="12.44140625" bestFit="1" customWidth="1"/>
    <col min="3088" max="3092" width="0" hidden="1" customWidth="1"/>
    <col min="3093" max="3093" width="13.44140625" customWidth="1"/>
    <col min="3094" max="3094" width="10.88671875" customWidth="1"/>
    <col min="3095" max="3103" width="0" hidden="1" customWidth="1"/>
    <col min="3331" max="3331" width="5.44140625" customWidth="1"/>
    <col min="3332" max="3332" width="28.88671875" customWidth="1"/>
    <col min="3333" max="3333" width="15.33203125" customWidth="1"/>
    <col min="3334" max="3334" width="6.6640625" customWidth="1"/>
    <col min="3335" max="3335" width="7.33203125" customWidth="1"/>
    <col min="3336" max="3336" width="10.44140625" customWidth="1"/>
    <col min="3337" max="3337" width="13.44140625" customWidth="1"/>
    <col min="3338" max="3338" width="19.44140625" customWidth="1"/>
    <col min="3339" max="3339" width="7.109375" customWidth="1"/>
    <col min="3340" max="3340" width="0" hidden="1" customWidth="1"/>
    <col min="3341" max="3341" width="13" customWidth="1"/>
    <col min="3342" max="3342" width="11.33203125" bestFit="1" customWidth="1"/>
    <col min="3343" max="3343" width="12.44140625" bestFit="1" customWidth="1"/>
    <col min="3344" max="3348" width="0" hidden="1" customWidth="1"/>
    <col min="3349" max="3349" width="13.44140625" customWidth="1"/>
    <col min="3350" max="3350" width="10.88671875" customWidth="1"/>
    <col min="3351" max="3359" width="0" hidden="1" customWidth="1"/>
    <col min="3587" max="3587" width="5.44140625" customWidth="1"/>
    <col min="3588" max="3588" width="28.88671875" customWidth="1"/>
    <col min="3589" max="3589" width="15.33203125" customWidth="1"/>
    <col min="3590" max="3590" width="6.6640625" customWidth="1"/>
    <col min="3591" max="3591" width="7.33203125" customWidth="1"/>
    <col min="3592" max="3592" width="10.44140625" customWidth="1"/>
    <col min="3593" max="3593" width="13.44140625" customWidth="1"/>
    <col min="3594" max="3594" width="19.44140625" customWidth="1"/>
    <col min="3595" max="3595" width="7.109375" customWidth="1"/>
    <col min="3596" max="3596" width="0" hidden="1" customWidth="1"/>
    <col min="3597" max="3597" width="13" customWidth="1"/>
    <col min="3598" max="3598" width="11.33203125" bestFit="1" customWidth="1"/>
    <col min="3599" max="3599" width="12.44140625" bestFit="1" customWidth="1"/>
    <col min="3600" max="3604" width="0" hidden="1" customWidth="1"/>
    <col min="3605" max="3605" width="13.44140625" customWidth="1"/>
    <col min="3606" max="3606" width="10.88671875" customWidth="1"/>
    <col min="3607" max="3615" width="0" hidden="1" customWidth="1"/>
    <col min="3843" max="3843" width="5.44140625" customWidth="1"/>
    <col min="3844" max="3844" width="28.88671875" customWidth="1"/>
    <col min="3845" max="3845" width="15.33203125" customWidth="1"/>
    <col min="3846" max="3846" width="6.6640625" customWidth="1"/>
    <col min="3847" max="3847" width="7.33203125" customWidth="1"/>
    <col min="3848" max="3848" width="10.44140625" customWidth="1"/>
    <col min="3849" max="3849" width="13.44140625" customWidth="1"/>
    <col min="3850" max="3850" width="19.44140625" customWidth="1"/>
    <col min="3851" max="3851" width="7.109375" customWidth="1"/>
    <col min="3852" max="3852" width="0" hidden="1" customWidth="1"/>
    <col min="3853" max="3853" width="13" customWidth="1"/>
    <col min="3854" max="3854" width="11.33203125" bestFit="1" customWidth="1"/>
    <col min="3855" max="3855" width="12.44140625" bestFit="1" customWidth="1"/>
    <col min="3856" max="3860" width="0" hidden="1" customWidth="1"/>
    <col min="3861" max="3861" width="13.44140625" customWidth="1"/>
    <col min="3862" max="3862" width="10.88671875" customWidth="1"/>
    <col min="3863" max="3871" width="0" hidden="1" customWidth="1"/>
    <col min="4099" max="4099" width="5.44140625" customWidth="1"/>
    <col min="4100" max="4100" width="28.88671875" customWidth="1"/>
    <col min="4101" max="4101" width="15.33203125" customWidth="1"/>
    <col min="4102" max="4102" width="6.6640625" customWidth="1"/>
    <col min="4103" max="4103" width="7.33203125" customWidth="1"/>
    <col min="4104" max="4104" width="10.44140625" customWidth="1"/>
    <col min="4105" max="4105" width="13.44140625" customWidth="1"/>
    <col min="4106" max="4106" width="19.44140625" customWidth="1"/>
    <col min="4107" max="4107" width="7.109375" customWidth="1"/>
    <col min="4108" max="4108" width="0" hidden="1" customWidth="1"/>
    <col min="4109" max="4109" width="13" customWidth="1"/>
    <col min="4110" max="4110" width="11.33203125" bestFit="1" customWidth="1"/>
    <col min="4111" max="4111" width="12.44140625" bestFit="1" customWidth="1"/>
    <col min="4112" max="4116" width="0" hidden="1" customWidth="1"/>
    <col min="4117" max="4117" width="13.44140625" customWidth="1"/>
    <col min="4118" max="4118" width="10.88671875" customWidth="1"/>
    <col min="4119" max="4127" width="0" hidden="1" customWidth="1"/>
    <col min="4355" max="4355" width="5.44140625" customWidth="1"/>
    <col min="4356" max="4356" width="28.88671875" customWidth="1"/>
    <col min="4357" max="4357" width="15.33203125" customWidth="1"/>
    <col min="4358" max="4358" width="6.6640625" customWidth="1"/>
    <col min="4359" max="4359" width="7.33203125" customWidth="1"/>
    <col min="4360" max="4360" width="10.44140625" customWidth="1"/>
    <col min="4361" max="4361" width="13.44140625" customWidth="1"/>
    <col min="4362" max="4362" width="19.44140625" customWidth="1"/>
    <col min="4363" max="4363" width="7.109375" customWidth="1"/>
    <col min="4364" max="4364" width="0" hidden="1" customWidth="1"/>
    <col min="4365" max="4365" width="13" customWidth="1"/>
    <col min="4366" max="4366" width="11.33203125" bestFit="1" customWidth="1"/>
    <col min="4367" max="4367" width="12.44140625" bestFit="1" customWidth="1"/>
    <col min="4368" max="4372" width="0" hidden="1" customWidth="1"/>
    <col min="4373" max="4373" width="13.44140625" customWidth="1"/>
    <col min="4374" max="4374" width="10.88671875" customWidth="1"/>
    <col min="4375" max="4383" width="0" hidden="1" customWidth="1"/>
    <col min="4611" max="4611" width="5.44140625" customWidth="1"/>
    <col min="4612" max="4612" width="28.88671875" customWidth="1"/>
    <col min="4613" max="4613" width="15.33203125" customWidth="1"/>
    <col min="4614" max="4614" width="6.6640625" customWidth="1"/>
    <col min="4615" max="4615" width="7.33203125" customWidth="1"/>
    <col min="4616" max="4616" width="10.44140625" customWidth="1"/>
    <col min="4617" max="4617" width="13.44140625" customWidth="1"/>
    <col min="4618" max="4618" width="19.44140625" customWidth="1"/>
    <col min="4619" max="4619" width="7.109375" customWidth="1"/>
    <col min="4620" max="4620" width="0" hidden="1" customWidth="1"/>
    <col min="4621" max="4621" width="13" customWidth="1"/>
    <col min="4622" max="4622" width="11.33203125" bestFit="1" customWidth="1"/>
    <col min="4623" max="4623" width="12.44140625" bestFit="1" customWidth="1"/>
    <col min="4624" max="4628" width="0" hidden="1" customWidth="1"/>
    <col min="4629" max="4629" width="13.44140625" customWidth="1"/>
    <col min="4630" max="4630" width="10.88671875" customWidth="1"/>
    <col min="4631" max="4639" width="0" hidden="1" customWidth="1"/>
    <col min="4867" max="4867" width="5.44140625" customWidth="1"/>
    <col min="4868" max="4868" width="28.88671875" customWidth="1"/>
    <col min="4869" max="4869" width="15.33203125" customWidth="1"/>
    <col min="4870" max="4870" width="6.6640625" customWidth="1"/>
    <col min="4871" max="4871" width="7.33203125" customWidth="1"/>
    <col min="4872" max="4872" width="10.44140625" customWidth="1"/>
    <col min="4873" max="4873" width="13.44140625" customWidth="1"/>
    <col min="4874" max="4874" width="19.44140625" customWidth="1"/>
    <col min="4875" max="4875" width="7.109375" customWidth="1"/>
    <col min="4876" max="4876" width="0" hidden="1" customWidth="1"/>
    <col min="4877" max="4877" width="13" customWidth="1"/>
    <col min="4878" max="4878" width="11.33203125" bestFit="1" customWidth="1"/>
    <col min="4879" max="4879" width="12.44140625" bestFit="1" customWidth="1"/>
    <col min="4880" max="4884" width="0" hidden="1" customWidth="1"/>
    <col min="4885" max="4885" width="13.44140625" customWidth="1"/>
    <col min="4886" max="4886" width="10.88671875" customWidth="1"/>
    <col min="4887" max="4895" width="0" hidden="1" customWidth="1"/>
    <col min="5123" max="5123" width="5.44140625" customWidth="1"/>
    <col min="5124" max="5124" width="28.88671875" customWidth="1"/>
    <col min="5125" max="5125" width="15.33203125" customWidth="1"/>
    <col min="5126" max="5126" width="6.6640625" customWidth="1"/>
    <col min="5127" max="5127" width="7.33203125" customWidth="1"/>
    <col min="5128" max="5128" width="10.44140625" customWidth="1"/>
    <col min="5129" max="5129" width="13.44140625" customWidth="1"/>
    <col min="5130" max="5130" width="19.44140625" customWidth="1"/>
    <col min="5131" max="5131" width="7.109375" customWidth="1"/>
    <col min="5132" max="5132" width="0" hidden="1" customWidth="1"/>
    <col min="5133" max="5133" width="13" customWidth="1"/>
    <col min="5134" max="5134" width="11.33203125" bestFit="1" customWidth="1"/>
    <col min="5135" max="5135" width="12.44140625" bestFit="1" customWidth="1"/>
    <col min="5136" max="5140" width="0" hidden="1" customWidth="1"/>
    <col min="5141" max="5141" width="13.44140625" customWidth="1"/>
    <col min="5142" max="5142" width="10.88671875" customWidth="1"/>
    <col min="5143" max="5151" width="0" hidden="1" customWidth="1"/>
    <col min="5379" max="5379" width="5.44140625" customWidth="1"/>
    <col min="5380" max="5380" width="28.88671875" customWidth="1"/>
    <col min="5381" max="5381" width="15.33203125" customWidth="1"/>
    <col min="5382" max="5382" width="6.6640625" customWidth="1"/>
    <col min="5383" max="5383" width="7.33203125" customWidth="1"/>
    <col min="5384" max="5384" width="10.44140625" customWidth="1"/>
    <col min="5385" max="5385" width="13.44140625" customWidth="1"/>
    <col min="5386" max="5386" width="19.44140625" customWidth="1"/>
    <col min="5387" max="5387" width="7.109375" customWidth="1"/>
    <col min="5388" max="5388" width="0" hidden="1" customWidth="1"/>
    <col min="5389" max="5389" width="13" customWidth="1"/>
    <col min="5390" max="5390" width="11.33203125" bestFit="1" customWidth="1"/>
    <col min="5391" max="5391" width="12.44140625" bestFit="1" customWidth="1"/>
    <col min="5392" max="5396" width="0" hidden="1" customWidth="1"/>
    <col min="5397" max="5397" width="13.44140625" customWidth="1"/>
    <col min="5398" max="5398" width="10.88671875" customWidth="1"/>
    <col min="5399" max="5407" width="0" hidden="1" customWidth="1"/>
    <col min="5635" max="5635" width="5.44140625" customWidth="1"/>
    <col min="5636" max="5636" width="28.88671875" customWidth="1"/>
    <col min="5637" max="5637" width="15.33203125" customWidth="1"/>
    <col min="5638" max="5638" width="6.6640625" customWidth="1"/>
    <col min="5639" max="5639" width="7.33203125" customWidth="1"/>
    <col min="5640" max="5640" width="10.44140625" customWidth="1"/>
    <col min="5641" max="5641" width="13.44140625" customWidth="1"/>
    <col min="5642" max="5642" width="19.44140625" customWidth="1"/>
    <col min="5643" max="5643" width="7.109375" customWidth="1"/>
    <col min="5644" max="5644" width="0" hidden="1" customWidth="1"/>
    <col min="5645" max="5645" width="13" customWidth="1"/>
    <col min="5646" max="5646" width="11.33203125" bestFit="1" customWidth="1"/>
    <col min="5647" max="5647" width="12.44140625" bestFit="1" customWidth="1"/>
    <col min="5648" max="5652" width="0" hidden="1" customWidth="1"/>
    <col min="5653" max="5653" width="13.44140625" customWidth="1"/>
    <col min="5654" max="5654" width="10.88671875" customWidth="1"/>
    <col min="5655" max="5663" width="0" hidden="1" customWidth="1"/>
    <col min="5891" max="5891" width="5.44140625" customWidth="1"/>
    <col min="5892" max="5892" width="28.88671875" customWidth="1"/>
    <col min="5893" max="5893" width="15.33203125" customWidth="1"/>
    <col min="5894" max="5894" width="6.6640625" customWidth="1"/>
    <col min="5895" max="5895" width="7.33203125" customWidth="1"/>
    <col min="5896" max="5896" width="10.44140625" customWidth="1"/>
    <col min="5897" max="5897" width="13.44140625" customWidth="1"/>
    <col min="5898" max="5898" width="19.44140625" customWidth="1"/>
    <col min="5899" max="5899" width="7.109375" customWidth="1"/>
    <col min="5900" max="5900" width="0" hidden="1" customWidth="1"/>
    <col min="5901" max="5901" width="13" customWidth="1"/>
    <col min="5902" max="5902" width="11.33203125" bestFit="1" customWidth="1"/>
    <col min="5903" max="5903" width="12.44140625" bestFit="1" customWidth="1"/>
    <col min="5904" max="5908" width="0" hidden="1" customWidth="1"/>
    <col min="5909" max="5909" width="13.44140625" customWidth="1"/>
    <col min="5910" max="5910" width="10.88671875" customWidth="1"/>
    <col min="5911" max="5919" width="0" hidden="1" customWidth="1"/>
    <col min="6147" max="6147" width="5.44140625" customWidth="1"/>
    <col min="6148" max="6148" width="28.88671875" customWidth="1"/>
    <col min="6149" max="6149" width="15.33203125" customWidth="1"/>
    <col min="6150" max="6150" width="6.6640625" customWidth="1"/>
    <col min="6151" max="6151" width="7.33203125" customWidth="1"/>
    <col min="6152" max="6152" width="10.44140625" customWidth="1"/>
    <col min="6153" max="6153" width="13.44140625" customWidth="1"/>
    <col min="6154" max="6154" width="19.44140625" customWidth="1"/>
    <col min="6155" max="6155" width="7.109375" customWidth="1"/>
    <col min="6156" max="6156" width="0" hidden="1" customWidth="1"/>
    <col min="6157" max="6157" width="13" customWidth="1"/>
    <col min="6158" max="6158" width="11.33203125" bestFit="1" customWidth="1"/>
    <col min="6159" max="6159" width="12.44140625" bestFit="1" customWidth="1"/>
    <col min="6160" max="6164" width="0" hidden="1" customWidth="1"/>
    <col min="6165" max="6165" width="13.44140625" customWidth="1"/>
    <col min="6166" max="6166" width="10.88671875" customWidth="1"/>
    <col min="6167" max="6175" width="0" hidden="1" customWidth="1"/>
    <col min="6403" max="6403" width="5.44140625" customWidth="1"/>
    <col min="6404" max="6404" width="28.88671875" customWidth="1"/>
    <col min="6405" max="6405" width="15.33203125" customWidth="1"/>
    <col min="6406" max="6406" width="6.6640625" customWidth="1"/>
    <col min="6407" max="6407" width="7.33203125" customWidth="1"/>
    <col min="6408" max="6408" width="10.44140625" customWidth="1"/>
    <col min="6409" max="6409" width="13.44140625" customWidth="1"/>
    <col min="6410" max="6410" width="19.44140625" customWidth="1"/>
    <col min="6411" max="6411" width="7.109375" customWidth="1"/>
    <col min="6412" max="6412" width="0" hidden="1" customWidth="1"/>
    <col min="6413" max="6413" width="13" customWidth="1"/>
    <col min="6414" max="6414" width="11.33203125" bestFit="1" customWidth="1"/>
    <col min="6415" max="6415" width="12.44140625" bestFit="1" customWidth="1"/>
    <col min="6416" max="6420" width="0" hidden="1" customWidth="1"/>
    <col min="6421" max="6421" width="13.44140625" customWidth="1"/>
    <col min="6422" max="6422" width="10.88671875" customWidth="1"/>
    <col min="6423" max="6431" width="0" hidden="1" customWidth="1"/>
    <col min="6659" max="6659" width="5.44140625" customWidth="1"/>
    <col min="6660" max="6660" width="28.88671875" customWidth="1"/>
    <col min="6661" max="6661" width="15.33203125" customWidth="1"/>
    <col min="6662" max="6662" width="6.6640625" customWidth="1"/>
    <col min="6663" max="6663" width="7.33203125" customWidth="1"/>
    <col min="6664" max="6664" width="10.44140625" customWidth="1"/>
    <col min="6665" max="6665" width="13.44140625" customWidth="1"/>
    <col min="6666" max="6666" width="19.44140625" customWidth="1"/>
    <col min="6667" max="6667" width="7.109375" customWidth="1"/>
    <col min="6668" max="6668" width="0" hidden="1" customWidth="1"/>
    <col min="6669" max="6669" width="13" customWidth="1"/>
    <col min="6670" max="6670" width="11.33203125" bestFit="1" customWidth="1"/>
    <col min="6671" max="6671" width="12.44140625" bestFit="1" customWidth="1"/>
    <col min="6672" max="6676" width="0" hidden="1" customWidth="1"/>
    <col min="6677" max="6677" width="13.44140625" customWidth="1"/>
    <col min="6678" max="6678" width="10.88671875" customWidth="1"/>
    <col min="6679" max="6687" width="0" hidden="1" customWidth="1"/>
    <col min="6915" max="6915" width="5.44140625" customWidth="1"/>
    <col min="6916" max="6916" width="28.88671875" customWidth="1"/>
    <col min="6917" max="6917" width="15.33203125" customWidth="1"/>
    <col min="6918" max="6918" width="6.6640625" customWidth="1"/>
    <col min="6919" max="6919" width="7.33203125" customWidth="1"/>
    <col min="6920" max="6920" width="10.44140625" customWidth="1"/>
    <col min="6921" max="6921" width="13.44140625" customWidth="1"/>
    <col min="6922" max="6922" width="19.44140625" customWidth="1"/>
    <col min="6923" max="6923" width="7.109375" customWidth="1"/>
    <col min="6924" max="6924" width="0" hidden="1" customWidth="1"/>
    <col min="6925" max="6925" width="13" customWidth="1"/>
    <col min="6926" max="6926" width="11.33203125" bestFit="1" customWidth="1"/>
    <col min="6927" max="6927" width="12.44140625" bestFit="1" customWidth="1"/>
    <col min="6928" max="6932" width="0" hidden="1" customWidth="1"/>
    <col min="6933" max="6933" width="13.44140625" customWidth="1"/>
    <col min="6934" max="6934" width="10.88671875" customWidth="1"/>
    <col min="6935" max="6943" width="0" hidden="1" customWidth="1"/>
    <col min="7171" max="7171" width="5.44140625" customWidth="1"/>
    <col min="7172" max="7172" width="28.88671875" customWidth="1"/>
    <col min="7173" max="7173" width="15.33203125" customWidth="1"/>
    <col min="7174" max="7174" width="6.6640625" customWidth="1"/>
    <col min="7175" max="7175" width="7.33203125" customWidth="1"/>
    <col min="7176" max="7176" width="10.44140625" customWidth="1"/>
    <col min="7177" max="7177" width="13.44140625" customWidth="1"/>
    <col min="7178" max="7178" width="19.44140625" customWidth="1"/>
    <col min="7179" max="7179" width="7.109375" customWidth="1"/>
    <col min="7180" max="7180" width="0" hidden="1" customWidth="1"/>
    <col min="7181" max="7181" width="13" customWidth="1"/>
    <col min="7182" max="7182" width="11.33203125" bestFit="1" customWidth="1"/>
    <col min="7183" max="7183" width="12.44140625" bestFit="1" customWidth="1"/>
    <col min="7184" max="7188" width="0" hidden="1" customWidth="1"/>
    <col min="7189" max="7189" width="13.44140625" customWidth="1"/>
    <col min="7190" max="7190" width="10.88671875" customWidth="1"/>
    <col min="7191" max="7199" width="0" hidden="1" customWidth="1"/>
    <col min="7427" max="7427" width="5.44140625" customWidth="1"/>
    <col min="7428" max="7428" width="28.88671875" customWidth="1"/>
    <col min="7429" max="7429" width="15.33203125" customWidth="1"/>
    <col min="7430" max="7430" width="6.6640625" customWidth="1"/>
    <col min="7431" max="7431" width="7.33203125" customWidth="1"/>
    <col min="7432" max="7432" width="10.44140625" customWidth="1"/>
    <col min="7433" max="7433" width="13.44140625" customWidth="1"/>
    <col min="7434" max="7434" width="19.44140625" customWidth="1"/>
    <col min="7435" max="7435" width="7.109375" customWidth="1"/>
    <col min="7436" max="7436" width="0" hidden="1" customWidth="1"/>
    <col min="7437" max="7437" width="13" customWidth="1"/>
    <col min="7438" max="7438" width="11.33203125" bestFit="1" customWidth="1"/>
    <col min="7439" max="7439" width="12.44140625" bestFit="1" customWidth="1"/>
    <col min="7440" max="7444" width="0" hidden="1" customWidth="1"/>
    <col min="7445" max="7445" width="13.44140625" customWidth="1"/>
    <col min="7446" max="7446" width="10.88671875" customWidth="1"/>
    <col min="7447" max="7455" width="0" hidden="1" customWidth="1"/>
    <col min="7683" max="7683" width="5.44140625" customWidth="1"/>
    <col min="7684" max="7684" width="28.88671875" customWidth="1"/>
    <col min="7685" max="7685" width="15.33203125" customWidth="1"/>
    <col min="7686" max="7686" width="6.6640625" customWidth="1"/>
    <col min="7687" max="7687" width="7.33203125" customWidth="1"/>
    <col min="7688" max="7688" width="10.44140625" customWidth="1"/>
    <col min="7689" max="7689" width="13.44140625" customWidth="1"/>
    <col min="7690" max="7690" width="19.44140625" customWidth="1"/>
    <col min="7691" max="7691" width="7.109375" customWidth="1"/>
    <col min="7692" max="7692" width="0" hidden="1" customWidth="1"/>
    <col min="7693" max="7693" width="13" customWidth="1"/>
    <col min="7694" max="7694" width="11.33203125" bestFit="1" customWidth="1"/>
    <col min="7695" max="7695" width="12.44140625" bestFit="1" customWidth="1"/>
    <col min="7696" max="7700" width="0" hidden="1" customWidth="1"/>
    <col min="7701" max="7701" width="13.44140625" customWidth="1"/>
    <col min="7702" max="7702" width="10.88671875" customWidth="1"/>
    <col min="7703" max="7711" width="0" hidden="1" customWidth="1"/>
    <col min="7939" max="7939" width="5.44140625" customWidth="1"/>
    <col min="7940" max="7940" width="28.88671875" customWidth="1"/>
    <col min="7941" max="7941" width="15.33203125" customWidth="1"/>
    <col min="7942" max="7942" width="6.6640625" customWidth="1"/>
    <col min="7943" max="7943" width="7.33203125" customWidth="1"/>
    <col min="7944" max="7944" width="10.44140625" customWidth="1"/>
    <col min="7945" max="7945" width="13.44140625" customWidth="1"/>
    <col min="7946" max="7946" width="19.44140625" customWidth="1"/>
    <col min="7947" max="7947" width="7.109375" customWidth="1"/>
    <col min="7948" max="7948" width="0" hidden="1" customWidth="1"/>
    <col min="7949" max="7949" width="13" customWidth="1"/>
    <col min="7950" max="7950" width="11.33203125" bestFit="1" customWidth="1"/>
    <col min="7951" max="7951" width="12.44140625" bestFit="1" customWidth="1"/>
    <col min="7952" max="7956" width="0" hidden="1" customWidth="1"/>
    <col min="7957" max="7957" width="13.44140625" customWidth="1"/>
    <col min="7958" max="7958" width="10.88671875" customWidth="1"/>
    <col min="7959" max="7967" width="0" hidden="1" customWidth="1"/>
    <col min="8195" max="8195" width="5.44140625" customWidth="1"/>
    <col min="8196" max="8196" width="28.88671875" customWidth="1"/>
    <col min="8197" max="8197" width="15.33203125" customWidth="1"/>
    <col min="8198" max="8198" width="6.6640625" customWidth="1"/>
    <col min="8199" max="8199" width="7.33203125" customWidth="1"/>
    <col min="8200" max="8200" width="10.44140625" customWidth="1"/>
    <col min="8201" max="8201" width="13.44140625" customWidth="1"/>
    <col min="8202" max="8202" width="19.44140625" customWidth="1"/>
    <col min="8203" max="8203" width="7.109375" customWidth="1"/>
    <col min="8204" max="8204" width="0" hidden="1" customWidth="1"/>
    <col min="8205" max="8205" width="13" customWidth="1"/>
    <col min="8206" max="8206" width="11.33203125" bestFit="1" customWidth="1"/>
    <col min="8207" max="8207" width="12.44140625" bestFit="1" customWidth="1"/>
    <col min="8208" max="8212" width="0" hidden="1" customWidth="1"/>
    <col min="8213" max="8213" width="13.44140625" customWidth="1"/>
    <col min="8214" max="8214" width="10.88671875" customWidth="1"/>
    <col min="8215" max="8223" width="0" hidden="1" customWidth="1"/>
    <col min="8451" max="8451" width="5.44140625" customWidth="1"/>
    <col min="8452" max="8452" width="28.88671875" customWidth="1"/>
    <col min="8453" max="8453" width="15.33203125" customWidth="1"/>
    <col min="8454" max="8454" width="6.6640625" customWidth="1"/>
    <col min="8455" max="8455" width="7.33203125" customWidth="1"/>
    <col min="8456" max="8456" width="10.44140625" customWidth="1"/>
    <col min="8457" max="8457" width="13.44140625" customWidth="1"/>
    <col min="8458" max="8458" width="19.44140625" customWidth="1"/>
    <col min="8459" max="8459" width="7.109375" customWidth="1"/>
    <col min="8460" max="8460" width="0" hidden="1" customWidth="1"/>
    <col min="8461" max="8461" width="13" customWidth="1"/>
    <col min="8462" max="8462" width="11.33203125" bestFit="1" customWidth="1"/>
    <col min="8463" max="8463" width="12.44140625" bestFit="1" customWidth="1"/>
    <col min="8464" max="8468" width="0" hidden="1" customWidth="1"/>
    <col min="8469" max="8469" width="13.44140625" customWidth="1"/>
    <col min="8470" max="8470" width="10.88671875" customWidth="1"/>
    <col min="8471" max="8479" width="0" hidden="1" customWidth="1"/>
    <col min="8707" max="8707" width="5.44140625" customWidth="1"/>
    <col min="8708" max="8708" width="28.88671875" customWidth="1"/>
    <col min="8709" max="8709" width="15.33203125" customWidth="1"/>
    <col min="8710" max="8710" width="6.6640625" customWidth="1"/>
    <col min="8711" max="8711" width="7.33203125" customWidth="1"/>
    <col min="8712" max="8712" width="10.44140625" customWidth="1"/>
    <col min="8713" max="8713" width="13.44140625" customWidth="1"/>
    <col min="8714" max="8714" width="19.44140625" customWidth="1"/>
    <col min="8715" max="8715" width="7.109375" customWidth="1"/>
    <col min="8716" max="8716" width="0" hidden="1" customWidth="1"/>
    <col min="8717" max="8717" width="13" customWidth="1"/>
    <col min="8718" max="8718" width="11.33203125" bestFit="1" customWidth="1"/>
    <col min="8719" max="8719" width="12.44140625" bestFit="1" customWidth="1"/>
    <col min="8720" max="8724" width="0" hidden="1" customWidth="1"/>
    <col min="8725" max="8725" width="13.44140625" customWidth="1"/>
    <col min="8726" max="8726" width="10.88671875" customWidth="1"/>
    <col min="8727" max="8735" width="0" hidden="1" customWidth="1"/>
    <col min="8963" max="8963" width="5.44140625" customWidth="1"/>
    <col min="8964" max="8964" width="28.88671875" customWidth="1"/>
    <col min="8965" max="8965" width="15.33203125" customWidth="1"/>
    <col min="8966" max="8966" width="6.6640625" customWidth="1"/>
    <col min="8967" max="8967" width="7.33203125" customWidth="1"/>
    <col min="8968" max="8968" width="10.44140625" customWidth="1"/>
    <col min="8969" max="8969" width="13.44140625" customWidth="1"/>
    <col min="8970" max="8970" width="19.44140625" customWidth="1"/>
    <col min="8971" max="8971" width="7.109375" customWidth="1"/>
    <col min="8972" max="8972" width="0" hidden="1" customWidth="1"/>
    <col min="8973" max="8973" width="13" customWidth="1"/>
    <col min="8974" max="8974" width="11.33203125" bestFit="1" customWidth="1"/>
    <col min="8975" max="8975" width="12.44140625" bestFit="1" customWidth="1"/>
    <col min="8976" max="8980" width="0" hidden="1" customWidth="1"/>
    <col min="8981" max="8981" width="13.44140625" customWidth="1"/>
    <col min="8982" max="8982" width="10.88671875" customWidth="1"/>
    <col min="8983" max="8991" width="0" hidden="1" customWidth="1"/>
    <col min="9219" max="9219" width="5.44140625" customWidth="1"/>
    <col min="9220" max="9220" width="28.88671875" customWidth="1"/>
    <col min="9221" max="9221" width="15.33203125" customWidth="1"/>
    <col min="9222" max="9222" width="6.6640625" customWidth="1"/>
    <col min="9223" max="9223" width="7.33203125" customWidth="1"/>
    <col min="9224" max="9224" width="10.44140625" customWidth="1"/>
    <col min="9225" max="9225" width="13.44140625" customWidth="1"/>
    <col min="9226" max="9226" width="19.44140625" customWidth="1"/>
    <col min="9227" max="9227" width="7.109375" customWidth="1"/>
    <col min="9228" max="9228" width="0" hidden="1" customWidth="1"/>
    <col min="9229" max="9229" width="13" customWidth="1"/>
    <col min="9230" max="9230" width="11.33203125" bestFit="1" customWidth="1"/>
    <col min="9231" max="9231" width="12.44140625" bestFit="1" customWidth="1"/>
    <col min="9232" max="9236" width="0" hidden="1" customWidth="1"/>
    <col min="9237" max="9237" width="13.44140625" customWidth="1"/>
    <col min="9238" max="9238" width="10.88671875" customWidth="1"/>
    <col min="9239" max="9247" width="0" hidden="1" customWidth="1"/>
    <col min="9475" max="9475" width="5.44140625" customWidth="1"/>
    <col min="9476" max="9476" width="28.88671875" customWidth="1"/>
    <col min="9477" max="9477" width="15.33203125" customWidth="1"/>
    <col min="9478" max="9478" width="6.6640625" customWidth="1"/>
    <col min="9479" max="9479" width="7.33203125" customWidth="1"/>
    <col min="9480" max="9480" width="10.44140625" customWidth="1"/>
    <col min="9481" max="9481" width="13.44140625" customWidth="1"/>
    <col min="9482" max="9482" width="19.44140625" customWidth="1"/>
    <col min="9483" max="9483" width="7.109375" customWidth="1"/>
    <col min="9484" max="9484" width="0" hidden="1" customWidth="1"/>
    <col min="9485" max="9485" width="13" customWidth="1"/>
    <col min="9486" max="9486" width="11.33203125" bestFit="1" customWidth="1"/>
    <col min="9487" max="9487" width="12.44140625" bestFit="1" customWidth="1"/>
    <col min="9488" max="9492" width="0" hidden="1" customWidth="1"/>
    <col min="9493" max="9493" width="13.44140625" customWidth="1"/>
    <col min="9494" max="9494" width="10.88671875" customWidth="1"/>
    <col min="9495" max="9503" width="0" hidden="1" customWidth="1"/>
    <col min="9731" max="9731" width="5.44140625" customWidth="1"/>
    <col min="9732" max="9732" width="28.88671875" customWidth="1"/>
    <col min="9733" max="9733" width="15.33203125" customWidth="1"/>
    <col min="9734" max="9734" width="6.6640625" customWidth="1"/>
    <col min="9735" max="9735" width="7.33203125" customWidth="1"/>
    <col min="9736" max="9736" width="10.44140625" customWidth="1"/>
    <col min="9737" max="9737" width="13.44140625" customWidth="1"/>
    <col min="9738" max="9738" width="19.44140625" customWidth="1"/>
    <col min="9739" max="9739" width="7.109375" customWidth="1"/>
    <col min="9740" max="9740" width="0" hidden="1" customWidth="1"/>
    <col min="9741" max="9741" width="13" customWidth="1"/>
    <col min="9742" max="9742" width="11.33203125" bestFit="1" customWidth="1"/>
    <col min="9743" max="9743" width="12.44140625" bestFit="1" customWidth="1"/>
    <col min="9744" max="9748" width="0" hidden="1" customWidth="1"/>
    <col min="9749" max="9749" width="13.44140625" customWidth="1"/>
    <col min="9750" max="9750" width="10.88671875" customWidth="1"/>
    <col min="9751" max="9759" width="0" hidden="1" customWidth="1"/>
    <col min="9987" max="9987" width="5.44140625" customWidth="1"/>
    <col min="9988" max="9988" width="28.88671875" customWidth="1"/>
    <col min="9989" max="9989" width="15.33203125" customWidth="1"/>
    <col min="9990" max="9990" width="6.6640625" customWidth="1"/>
    <col min="9991" max="9991" width="7.33203125" customWidth="1"/>
    <col min="9992" max="9992" width="10.44140625" customWidth="1"/>
    <col min="9993" max="9993" width="13.44140625" customWidth="1"/>
    <col min="9994" max="9994" width="19.44140625" customWidth="1"/>
    <col min="9995" max="9995" width="7.109375" customWidth="1"/>
    <col min="9996" max="9996" width="0" hidden="1" customWidth="1"/>
    <col min="9997" max="9997" width="13" customWidth="1"/>
    <col min="9998" max="9998" width="11.33203125" bestFit="1" customWidth="1"/>
    <col min="9999" max="9999" width="12.44140625" bestFit="1" customWidth="1"/>
    <col min="10000" max="10004" width="0" hidden="1" customWidth="1"/>
    <col min="10005" max="10005" width="13.44140625" customWidth="1"/>
    <col min="10006" max="10006" width="10.88671875" customWidth="1"/>
    <col min="10007" max="10015" width="0" hidden="1" customWidth="1"/>
    <col min="10243" max="10243" width="5.44140625" customWidth="1"/>
    <col min="10244" max="10244" width="28.88671875" customWidth="1"/>
    <col min="10245" max="10245" width="15.33203125" customWidth="1"/>
    <col min="10246" max="10246" width="6.6640625" customWidth="1"/>
    <col min="10247" max="10247" width="7.33203125" customWidth="1"/>
    <col min="10248" max="10248" width="10.44140625" customWidth="1"/>
    <col min="10249" max="10249" width="13.44140625" customWidth="1"/>
    <col min="10250" max="10250" width="19.44140625" customWidth="1"/>
    <col min="10251" max="10251" width="7.109375" customWidth="1"/>
    <col min="10252" max="10252" width="0" hidden="1" customWidth="1"/>
    <col min="10253" max="10253" width="13" customWidth="1"/>
    <col min="10254" max="10254" width="11.33203125" bestFit="1" customWidth="1"/>
    <col min="10255" max="10255" width="12.44140625" bestFit="1" customWidth="1"/>
    <col min="10256" max="10260" width="0" hidden="1" customWidth="1"/>
    <col min="10261" max="10261" width="13.44140625" customWidth="1"/>
    <col min="10262" max="10262" width="10.88671875" customWidth="1"/>
    <col min="10263" max="10271" width="0" hidden="1" customWidth="1"/>
    <col min="10499" max="10499" width="5.44140625" customWidth="1"/>
    <col min="10500" max="10500" width="28.88671875" customWidth="1"/>
    <col min="10501" max="10501" width="15.33203125" customWidth="1"/>
    <col min="10502" max="10502" width="6.6640625" customWidth="1"/>
    <col min="10503" max="10503" width="7.33203125" customWidth="1"/>
    <col min="10504" max="10504" width="10.44140625" customWidth="1"/>
    <col min="10505" max="10505" width="13.44140625" customWidth="1"/>
    <col min="10506" max="10506" width="19.44140625" customWidth="1"/>
    <col min="10507" max="10507" width="7.109375" customWidth="1"/>
    <col min="10508" max="10508" width="0" hidden="1" customWidth="1"/>
    <col min="10509" max="10509" width="13" customWidth="1"/>
    <col min="10510" max="10510" width="11.33203125" bestFit="1" customWidth="1"/>
    <col min="10511" max="10511" width="12.44140625" bestFit="1" customWidth="1"/>
    <col min="10512" max="10516" width="0" hidden="1" customWidth="1"/>
    <col min="10517" max="10517" width="13.44140625" customWidth="1"/>
    <col min="10518" max="10518" width="10.88671875" customWidth="1"/>
    <col min="10519" max="10527" width="0" hidden="1" customWidth="1"/>
    <col min="10755" max="10755" width="5.44140625" customWidth="1"/>
    <col min="10756" max="10756" width="28.88671875" customWidth="1"/>
    <col min="10757" max="10757" width="15.33203125" customWidth="1"/>
    <col min="10758" max="10758" width="6.6640625" customWidth="1"/>
    <col min="10759" max="10759" width="7.33203125" customWidth="1"/>
    <col min="10760" max="10760" width="10.44140625" customWidth="1"/>
    <col min="10761" max="10761" width="13.44140625" customWidth="1"/>
    <col min="10762" max="10762" width="19.44140625" customWidth="1"/>
    <col min="10763" max="10763" width="7.109375" customWidth="1"/>
    <col min="10764" max="10764" width="0" hidden="1" customWidth="1"/>
    <col min="10765" max="10765" width="13" customWidth="1"/>
    <col min="10766" max="10766" width="11.33203125" bestFit="1" customWidth="1"/>
    <col min="10767" max="10767" width="12.44140625" bestFit="1" customWidth="1"/>
    <col min="10768" max="10772" width="0" hidden="1" customWidth="1"/>
    <col min="10773" max="10773" width="13.44140625" customWidth="1"/>
    <col min="10774" max="10774" width="10.88671875" customWidth="1"/>
    <col min="10775" max="10783" width="0" hidden="1" customWidth="1"/>
    <col min="11011" max="11011" width="5.44140625" customWidth="1"/>
    <col min="11012" max="11012" width="28.88671875" customWidth="1"/>
    <col min="11013" max="11013" width="15.33203125" customWidth="1"/>
    <col min="11014" max="11014" width="6.6640625" customWidth="1"/>
    <col min="11015" max="11015" width="7.33203125" customWidth="1"/>
    <col min="11016" max="11016" width="10.44140625" customWidth="1"/>
    <col min="11017" max="11017" width="13.44140625" customWidth="1"/>
    <col min="11018" max="11018" width="19.44140625" customWidth="1"/>
    <col min="11019" max="11019" width="7.109375" customWidth="1"/>
    <col min="11020" max="11020" width="0" hidden="1" customWidth="1"/>
    <col min="11021" max="11021" width="13" customWidth="1"/>
    <col min="11022" max="11022" width="11.33203125" bestFit="1" customWidth="1"/>
    <col min="11023" max="11023" width="12.44140625" bestFit="1" customWidth="1"/>
    <col min="11024" max="11028" width="0" hidden="1" customWidth="1"/>
    <col min="11029" max="11029" width="13.44140625" customWidth="1"/>
    <col min="11030" max="11030" width="10.88671875" customWidth="1"/>
    <col min="11031" max="11039" width="0" hidden="1" customWidth="1"/>
    <col min="11267" max="11267" width="5.44140625" customWidth="1"/>
    <col min="11268" max="11268" width="28.88671875" customWidth="1"/>
    <col min="11269" max="11269" width="15.33203125" customWidth="1"/>
    <col min="11270" max="11270" width="6.6640625" customWidth="1"/>
    <col min="11271" max="11271" width="7.33203125" customWidth="1"/>
    <col min="11272" max="11272" width="10.44140625" customWidth="1"/>
    <col min="11273" max="11273" width="13.44140625" customWidth="1"/>
    <col min="11274" max="11274" width="19.44140625" customWidth="1"/>
    <col min="11275" max="11275" width="7.109375" customWidth="1"/>
    <col min="11276" max="11276" width="0" hidden="1" customWidth="1"/>
    <col min="11277" max="11277" width="13" customWidth="1"/>
    <col min="11278" max="11278" width="11.33203125" bestFit="1" customWidth="1"/>
    <col min="11279" max="11279" width="12.44140625" bestFit="1" customWidth="1"/>
    <col min="11280" max="11284" width="0" hidden="1" customWidth="1"/>
    <col min="11285" max="11285" width="13.44140625" customWidth="1"/>
    <col min="11286" max="11286" width="10.88671875" customWidth="1"/>
    <col min="11287" max="11295" width="0" hidden="1" customWidth="1"/>
    <col min="11523" max="11523" width="5.44140625" customWidth="1"/>
    <col min="11524" max="11524" width="28.88671875" customWidth="1"/>
    <col min="11525" max="11525" width="15.33203125" customWidth="1"/>
    <col min="11526" max="11526" width="6.6640625" customWidth="1"/>
    <col min="11527" max="11527" width="7.33203125" customWidth="1"/>
    <col min="11528" max="11528" width="10.44140625" customWidth="1"/>
    <col min="11529" max="11529" width="13.44140625" customWidth="1"/>
    <col min="11530" max="11530" width="19.44140625" customWidth="1"/>
    <col min="11531" max="11531" width="7.109375" customWidth="1"/>
    <col min="11532" max="11532" width="0" hidden="1" customWidth="1"/>
    <col min="11533" max="11533" width="13" customWidth="1"/>
    <col min="11534" max="11534" width="11.33203125" bestFit="1" customWidth="1"/>
    <col min="11535" max="11535" width="12.44140625" bestFit="1" customWidth="1"/>
    <col min="11536" max="11540" width="0" hidden="1" customWidth="1"/>
    <col min="11541" max="11541" width="13.44140625" customWidth="1"/>
    <col min="11542" max="11542" width="10.88671875" customWidth="1"/>
    <col min="11543" max="11551" width="0" hidden="1" customWidth="1"/>
    <col min="11779" max="11779" width="5.44140625" customWidth="1"/>
    <col min="11780" max="11780" width="28.88671875" customWidth="1"/>
    <col min="11781" max="11781" width="15.33203125" customWidth="1"/>
    <col min="11782" max="11782" width="6.6640625" customWidth="1"/>
    <col min="11783" max="11783" width="7.33203125" customWidth="1"/>
    <col min="11784" max="11784" width="10.44140625" customWidth="1"/>
    <col min="11785" max="11785" width="13.44140625" customWidth="1"/>
    <col min="11786" max="11786" width="19.44140625" customWidth="1"/>
    <col min="11787" max="11787" width="7.109375" customWidth="1"/>
    <col min="11788" max="11788" width="0" hidden="1" customWidth="1"/>
    <col min="11789" max="11789" width="13" customWidth="1"/>
    <col min="11790" max="11790" width="11.33203125" bestFit="1" customWidth="1"/>
    <col min="11791" max="11791" width="12.44140625" bestFit="1" customWidth="1"/>
    <col min="11792" max="11796" width="0" hidden="1" customWidth="1"/>
    <col min="11797" max="11797" width="13.44140625" customWidth="1"/>
    <col min="11798" max="11798" width="10.88671875" customWidth="1"/>
    <col min="11799" max="11807" width="0" hidden="1" customWidth="1"/>
    <col min="12035" max="12035" width="5.44140625" customWidth="1"/>
    <col min="12036" max="12036" width="28.88671875" customWidth="1"/>
    <col min="12037" max="12037" width="15.33203125" customWidth="1"/>
    <col min="12038" max="12038" width="6.6640625" customWidth="1"/>
    <col min="12039" max="12039" width="7.33203125" customWidth="1"/>
    <col min="12040" max="12040" width="10.44140625" customWidth="1"/>
    <col min="12041" max="12041" width="13.44140625" customWidth="1"/>
    <col min="12042" max="12042" width="19.44140625" customWidth="1"/>
    <col min="12043" max="12043" width="7.109375" customWidth="1"/>
    <col min="12044" max="12044" width="0" hidden="1" customWidth="1"/>
    <col min="12045" max="12045" width="13" customWidth="1"/>
    <col min="12046" max="12046" width="11.33203125" bestFit="1" customWidth="1"/>
    <col min="12047" max="12047" width="12.44140625" bestFit="1" customWidth="1"/>
    <col min="12048" max="12052" width="0" hidden="1" customWidth="1"/>
    <col min="12053" max="12053" width="13.44140625" customWidth="1"/>
    <col min="12054" max="12054" width="10.88671875" customWidth="1"/>
    <col min="12055" max="12063" width="0" hidden="1" customWidth="1"/>
    <col min="12291" max="12291" width="5.44140625" customWidth="1"/>
    <col min="12292" max="12292" width="28.88671875" customWidth="1"/>
    <col min="12293" max="12293" width="15.33203125" customWidth="1"/>
    <col min="12294" max="12294" width="6.6640625" customWidth="1"/>
    <col min="12295" max="12295" width="7.33203125" customWidth="1"/>
    <col min="12296" max="12296" width="10.44140625" customWidth="1"/>
    <col min="12297" max="12297" width="13.44140625" customWidth="1"/>
    <col min="12298" max="12298" width="19.44140625" customWidth="1"/>
    <col min="12299" max="12299" width="7.109375" customWidth="1"/>
    <col min="12300" max="12300" width="0" hidden="1" customWidth="1"/>
    <col min="12301" max="12301" width="13" customWidth="1"/>
    <col min="12302" max="12302" width="11.33203125" bestFit="1" customWidth="1"/>
    <col min="12303" max="12303" width="12.44140625" bestFit="1" customWidth="1"/>
    <col min="12304" max="12308" width="0" hidden="1" customWidth="1"/>
    <col min="12309" max="12309" width="13.44140625" customWidth="1"/>
    <col min="12310" max="12310" width="10.88671875" customWidth="1"/>
    <col min="12311" max="12319" width="0" hidden="1" customWidth="1"/>
    <col min="12547" max="12547" width="5.44140625" customWidth="1"/>
    <col min="12548" max="12548" width="28.88671875" customWidth="1"/>
    <col min="12549" max="12549" width="15.33203125" customWidth="1"/>
    <col min="12550" max="12550" width="6.6640625" customWidth="1"/>
    <col min="12551" max="12551" width="7.33203125" customWidth="1"/>
    <col min="12552" max="12552" width="10.44140625" customWidth="1"/>
    <col min="12553" max="12553" width="13.44140625" customWidth="1"/>
    <col min="12554" max="12554" width="19.44140625" customWidth="1"/>
    <col min="12555" max="12555" width="7.109375" customWidth="1"/>
    <col min="12556" max="12556" width="0" hidden="1" customWidth="1"/>
    <col min="12557" max="12557" width="13" customWidth="1"/>
    <col min="12558" max="12558" width="11.33203125" bestFit="1" customWidth="1"/>
    <col min="12559" max="12559" width="12.44140625" bestFit="1" customWidth="1"/>
    <col min="12560" max="12564" width="0" hidden="1" customWidth="1"/>
    <col min="12565" max="12565" width="13.44140625" customWidth="1"/>
    <col min="12566" max="12566" width="10.88671875" customWidth="1"/>
    <col min="12567" max="12575" width="0" hidden="1" customWidth="1"/>
    <col min="12803" max="12803" width="5.44140625" customWidth="1"/>
    <col min="12804" max="12804" width="28.88671875" customWidth="1"/>
    <col min="12805" max="12805" width="15.33203125" customWidth="1"/>
    <col min="12806" max="12806" width="6.6640625" customWidth="1"/>
    <col min="12807" max="12807" width="7.33203125" customWidth="1"/>
    <col min="12808" max="12808" width="10.44140625" customWidth="1"/>
    <col min="12809" max="12809" width="13.44140625" customWidth="1"/>
    <col min="12810" max="12810" width="19.44140625" customWidth="1"/>
    <col min="12811" max="12811" width="7.109375" customWidth="1"/>
    <col min="12812" max="12812" width="0" hidden="1" customWidth="1"/>
    <col min="12813" max="12813" width="13" customWidth="1"/>
    <col min="12814" max="12814" width="11.33203125" bestFit="1" customWidth="1"/>
    <col min="12815" max="12815" width="12.44140625" bestFit="1" customWidth="1"/>
    <col min="12816" max="12820" width="0" hidden="1" customWidth="1"/>
    <col min="12821" max="12821" width="13.44140625" customWidth="1"/>
    <col min="12822" max="12822" width="10.88671875" customWidth="1"/>
    <col min="12823" max="12831" width="0" hidden="1" customWidth="1"/>
    <col min="13059" max="13059" width="5.44140625" customWidth="1"/>
    <col min="13060" max="13060" width="28.88671875" customWidth="1"/>
    <col min="13061" max="13061" width="15.33203125" customWidth="1"/>
    <col min="13062" max="13062" width="6.6640625" customWidth="1"/>
    <col min="13063" max="13063" width="7.33203125" customWidth="1"/>
    <col min="13064" max="13064" width="10.44140625" customWidth="1"/>
    <col min="13065" max="13065" width="13.44140625" customWidth="1"/>
    <col min="13066" max="13066" width="19.44140625" customWidth="1"/>
    <col min="13067" max="13067" width="7.109375" customWidth="1"/>
    <col min="13068" max="13068" width="0" hidden="1" customWidth="1"/>
    <col min="13069" max="13069" width="13" customWidth="1"/>
    <col min="13070" max="13070" width="11.33203125" bestFit="1" customWidth="1"/>
    <col min="13071" max="13071" width="12.44140625" bestFit="1" customWidth="1"/>
    <col min="13072" max="13076" width="0" hidden="1" customWidth="1"/>
    <col min="13077" max="13077" width="13.44140625" customWidth="1"/>
    <col min="13078" max="13078" width="10.88671875" customWidth="1"/>
    <col min="13079" max="13087" width="0" hidden="1" customWidth="1"/>
    <col min="13315" max="13315" width="5.44140625" customWidth="1"/>
    <col min="13316" max="13316" width="28.88671875" customWidth="1"/>
    <col min="13317" max="13317" width="15.33203125" customWidth="1"/>
    <col min="13318" max="13318" width="6.6640625" customWidth="1"/>
    <col min="13319" max="13319" width="7.33203125" customWidth="1"/>
    <col min="13320" max="13320" width="10.44140625" customWidth="1"/>
    <col min="13321" max="13321" width="13.44140625" customWidth="1"/>
    <col min="13322" max="13322" width="19.44140625" customWidth="1"/>
    <col min="13323" max="13323" width="7.109375" customWidth="1"/>
    <col min="13324" max="13324" width="0" hidden="1" customWidth="1"/>
    <col min="13325" max="13325" width="13" customWidth="1"/>
    <col min="13326" max="13326" width="11.33203125" bestFit="1" customWidth="1"/>
    <col min="13327" max="13327" width="12.44140625" bestFit="1" customWidth="1"/>
    <col min="13328" max="13332" width="0" hidden="1" customWidth="1"/>
    <col min="13333" max="13333" width="13.44140625" customWidth="1"/>
    <col min="13334" max="13334" width="10.88671875" customWidth="1"/>
    <col min="13335" max="13343" width="0" hidden="1" customWidth="1"/>
    <col min="13571" max="13571" width="5.44140625" customWidth="1"/>
    <col min="13572" max="13572" width="28.88671875" customWidth="1"/>
    <col min="13573" max="13573" width="15.33203125" customWidth="1"/>
    <col min="13574" max="13574" width="6.6640625" customWidth="1"/>
    <col min="13575" max="13575" width="7.33203125" customWidth="1"/>
    <col min="13576" max="13576" width="10.44140625" customWidth="1"/>
    <col min="13577" max="13577" width="13.44140625" customWidth="1"/>
    <col min="13578" max="13578" width="19.44140625" customWidth="1"/>
    <col min="13579" max="13579" width="7.109375" customWidth="1"/>
    <col min="13580" max="13580" width="0" hidden="1" customWidth="1"/>
    <col min="13581" max="13581" width="13" customWidth="1"/>
    <col min="13582" max="13582" width="11.33203125" bestFit="1" customWidth="1"/>
    <col min="13583" max="13583" width="12.44140625" bestFit="1" customWidth="1"/>
    <col min="13584" max="13588" width="0" hidden="1" customWidth="1"/>
    <col min="13589" max="13589" width="13.44140625" customWidth="1"/>
    <col min="13590" max="13590" width="10.88671875" customWidth="1"/>
    <col min="13591" max="13599" width="0" hidden="1" customWidth="1"/>
    <col min="13827" max="13827" width="5.44140625" customWidth="1"/>
    <col min="13828" max="13828" width="28.88671875" customWidth="1"/>
    <col min="13829" max="13829" width="15.33203125" customWidth="1"/>
    <col min="13830" max="13830" width="6.6640625" customWidth="1"/>
    <col min="13831" max="13831" width="7.33203125" customWidth="1"/>
    <col min="13832" max="13832" width="10.44140625" customWidth="1"/>
    <col min="13833" max="13833" width="13.44140625" customWidth="1"/>
    <col min="13834" max="13834" width="19.44140625" customWidth="1"/>
    <col min="13835" max="13835" width="7.109375" customWidth="1"/>
    <col min="13836" max="13836" width="0" hidden="1" customWidth="1"/>
    <col min="13837" max="13837" width="13" customWidth="1"/>
    <col min="13838" max="13838" width="11.33203125" bestFit="1" customWidth="1"/>
    <col min="13839" max="13839" width="12.44140625" bestFit="1" customWidth="1"/>
    <col min="13840" max="13844" width="0" hidden="1" customWidth="1"/>
    <col min="13845" max="13845" width="13.44140625" customWidth="1"/>
    <col min="13846" max="13846" width="10.88671875" customWidth="1"/>
    <col min="13847" max="13855" width="0" hidden="1" customWidth="1"/>
    <col min="14083" max="14083" width="5.44140625" customWidth="1"/>
    <col min="14084" max="14084" width="28.88671875" customWidth="1"/>
    <col min="14085" max="14085" width="15.33203125" customWidth="1"/>
    <col min="14086" max="14086" width="6.6640625" customWidth="1"/>
    <col min="14087" max="14087" width="7.33203125" customWidth="1"/>
    <col min="14088" max="14088" width="10.44140625" customWidth="1"/>
    <col min="14089" max="14089" width="13.44140625" customWidth="1"/>
    <col min="14090" max="14090" width="19.44140625" customWidth="1"/>
    <col min="14091" max="14091" width="7.109375" customWidth="1"/>
    <col min="14092" max="14092" width="0" hidden="1" customWidth="1"/>
    <col min="14093" max="14093" width="13" customWidth="1"/>
    <col min="14094" max="14094" width="11.33203125" bestFit="1" customWidth="1"/>
    <col min="14095" max="14095" width="12.44140625" bestFit="1" customWidth="1"/>
    <col min="14096" max="14100" width="0" hidden="1" customWidth="1"/>
    <col min="14101" max="14101" width="13.44140625" customWidth="1"/>
    <col min="14102" max="14102" width="10.88671875" customWidth="1"/>
    <col min="14103" max="14111" width="0" hidden="1" customWidth="1"/>
    <col min="14339" max="14339" width="5.44140625" customWidth="1"/>
    <col min="14340" max="14340" width="28.88671875" customWidth="1"/>
    <col min="14341" max="14341" width="15.33203125" customWidth="1"/>
    <col min="14342" max="14342" width="6.6640625" customWidth="1"/>
    <col min="14343" max="14343" width="7.33203125" customWidth="1"/>
    <col min="14344" max="14344" width="10.44140625" customWidth="1"/>
    <col min="14345" max="14345" width="13.44140625" customWidth="1"/>
    <col min="14346" max="14346" width="19.44140625" customWidth="1"/>
    <col min="14347" max="14347" width="7.109375" customWidth="1"/>
    <col min="14348" max="14348" width="0" hidden="1" customWidth="1"/>
    <col min="14349" max="14349" width="13" customWidth="1"/>
    <col min="14350" max="14350" width="11.33203125" bestFit="1" customWidth="1"/>
    <col min="14351" max="14351" width="12.44140625" bestFit="1" customWidth="1"/>
    <col min="14352" max="14356" width="0" hidden="1" customWidth="1"/>
    <col min="14357" max="14357" width="13.44140625" customWidth="1"/>
    <col min="14358" max="14358" width="10.88671875" customWidth="1"/>
    <col min="14359" max="14367" width="0" hidden="1" customWidth="1"/>
    <col min="14595" max="14595" width="5.44140625" customWidth="1"/>
    <col min="14596" max="14596" width="28.88671875" customWidth="1"/>
    <col min="14597" max="14597" width="15.33203125" customWidth="1"/>
    <col min="14598" max="14598" width="6.6640625" customWidth="1"/>
    <col min="14599" max="14599" width="7.33203125" customWidth="1"/>
    <col min="14600" max="14600" width="10.44140625" customWidth="1"/>
    <col min="14601" max="14601" width="13.44140625" customWidth="1"/>
    <col min="14602" max="14602" width="19.44140625" customWidth="1"/>
    <col min="14603" max="14603" width="7.109375" customWidth="1"/>
    <col min="14604" max="14604" width="0" hidden="1" customWidth="1"/>
    <col min="14605" max="14605" width="13" customWidth="1"/>
    <col min="14606" max="14606" width="11.33203125" bestFit="1" customWidth="1"/>
    <col min="14607" max="14607" width="12.44140625" bestFit="1" customWidth="1"/>
    <col min="14608" max="14612" width="0" hidden="1" customWidth="1"/>
    <col min="14613" max="14613" width="13.44140625" customWidth="1"/>
    <col min="14614" max="14614" width="10.88671875" customWidth="1"/>
    <col min="14615" max="14623" width="0" hidden="1" customWidth="1"/>
    <col min="14851" max="14851" width="5.44140625" customWidth="1"/>
    <col min="14852" max="14852" width="28.88671875" customWidth="1"/>
    <col min="14853" max="14853" width="15.33203125" customWidth="1"/>
    <col min="14854" max="14854" width="6.6640625" customWidth="1"/>
    <col min="14855" max="14855" width="7.33203125" customWidth="1"/>
    <col min="14856" max="14856" width="10.44140625" customWidth="1"/>
    <col min="14857" max="14857" width="13.44140625" customWidth="1"/>
    <col min="14858" max="14858" width="19.44140625" customWidth="1"/>
    <col min="14859" max="14859" width="7.109375" customWidth="1"/>
    <col min="14860" max="14860" width="0" hidden="1" customWidth="1"/>
    <col min="14861" max="14861" width="13" customWidth="1"/>
    <col min="14862" max="14862" width="11.33203125" bestFit="1" customWidth="1"/>
    <col min="14863" max="14863" width="12.44140625" bestFit="1" customWidth="1"/>
    <col min="14864" max="14868" width="0" hidden="1" customWidth="1"/>
    <col min="14869" max="14869" width="13.44140625" customWidth="1"/>
    <col min="14870" max="14870" width="10.88671875" customWidth="1"/>
    <col min="14871" max="14879" width="0" hidden="1" customWidth="1"/>
    <col min="15107" max="15107" width="5.44140625" customWidth="1"/>
    <col min="15108" max="15108" width="28.88671875" customWidth="1"/>
    <col min="15109" max="15109" width="15.33203125" customWidth="1"/>
    <col min="15110" max="15110" width="6.6640625" customWidth="1"/>
    <col min="15111" max="15111" width="7.33203125" customWidth="1"/>
    <col min="15112" max="15112" width="10.44140625" customWidth="1"/>
    <col min="15113" max="15113" width="13.44140625" customWidth="1"/>
    <col min="15114" max="15114" width="19.44140625" customWidth="1"/>
    <col min="15115" max="15115" width="7.109375" customWidth="1"/>
    <col min="15116" max="15116" width="0" hidden="1" customWidth="1"/>
    <col min="15117" max="15117" width="13" customWidth="1"/>
    <col min="15118" max="15118" width="11.33203125" bestFit="1" customWidth="1"/>
    <col min="15119" max="15119" width="12.44140625" bestFit="1" customWidth="1"/>
    <col min="15120" max="15124" width="0" hidden="1" customWidth="1"/>
    <col min="15125" max="15125" width="13.44140625" customWidth="1"/>
    <col min="15126" max="15126" width="10.88671875" customWidth="1"/>
    <col min="15127" max="15135" width="0" hidden="1" customWidth="1"/>
    <col min="15363" max="15363" width="5.44140625" customWidth="1"/>
    <col min="15364" max="15364" width="28.88671875" customWidth="1"/>
    <col min="15365" max="15365" width="15.33203125" customWidth="1"/>
    <col min="15366" max="15366" width="6.6640625" customWidth="1"/>
    <col min="15367" max="15367" width="7.33203125" customWidth="1"/>
    <col min="15368" max="15368" width="10.44140625" customWidth="1"/>
    <col min="15369" max="15369" width="13.44140625" customWidth="1"/>
    <col min="15370" max="15370" width="19.44140625" customWidth="1"/>
    <col min="15371" max="15371" width="7.109375" customWidth="1"/>
    <col min="15372" max="15372" width="0" hidden="1" customWidth="1"/>
    <col min="15373" max="15373" width="13" customWidth="1"/>
    <col min="15374" max="15374" width="11.33203125" bestFit="1" customWidth="1"/>
    <col min="15375" max="15375" width="12.44140625" bestFit="1" customWidth="1"/>
    <col min="15376" max="15380" width="0" hidden="1" customWidth="1"/>
    <col min="15381" max="15381" width="13.44140625" customWidth="1"/>
    <col min="15382" max="15382" width="10.88671875" customWidth="1"/>
    <col min="15383" max="15391" width="0" hidden="1" customWidth="1"/>
    <col min="15619" max="15619" width="5.44140625" customWidth="1"/>
    <col min="15620" max="15620" width="28.88671875" customWidth="1"/>
    <col min="15621" max="15621" width="15.33203125" customWidth="1"/>
    <col min="15622" max="15622" width="6.6640625" customWidth="1"/>
    <col min="15623" max="15623" width="7.33203125" customWidth="1"/>
    <col min="15624" max="15624" width="10.44140625" customWidth="1"/>
    <col min="15625" max="15625" width="13.44140625" customWidth="1"/>
    <col min="15626" max="15626" width="19.44140625" customWidth="1"/>
    <col min="15627" max="15627" width="7.109375" customWidth="1"/>
    <col min="15628" max="15628" width="0" hidden="1" customWidth="1"/>
    <col min="15629" max="15629" width="13" customWidth="1"/>
    <col min="15630" max="15630" width="11.33203125" bestFit="1" customWidth="1"/>
    <col min="15631" max="15631" width="12.44140625" bestFit="1" customWidth="1"/>
    <col min="15632" max="15636" width="0" hidden="1" customWidth="1"/>
    <col min="15637" max="15637" width="13.44140625" customWidth="1"/>
    <col min="15638" max="15638" width="10.88671875" customWidth="1"/>
    <col min="15639" max="15647" width="0" hidden="1" customWidth="1"/>
    <col min="15875" max="15875" width="5.44140625" customWidth="1"/>
    <col min="15876" max="15876" width="28.88671875" customWidth="1"/>
    <col min="15877" max="15877" width="15.33203125" customWidth="1"/>
    <col min="15878" max="15878" width="6.6640625" customWidth="1"/>
    <col min="15879" max="15879" width="7.33203125" customWidth="1"/>
    <col min="15880" max="15880" width="10.44140625" customWidth="1"/>
    <col min="15881" max="15881" width="13.44140625" customWidth="1"/>
    <col min="15882" max="15882" width="19.44140625" customWidth="1"/>
    <col min="15883" max="15883" width="7.109375" customWidth="1"/>
    <col min="15884" max="15884" width="0" hidden="1" customWidth="1"/>
    <col min="15885" max="15885" width="13" customWidth="1"/>
    <col min="15886" max="15886" width="11.33203125" bestFit="1" customWidth="1"/>
    <col min="15887" max="15887" width="12.44140625" bestFit="1" customWidth="1"/>
    <col min="15888" max="15892" width="0" hidden="1" customWidth="1"/>
    <col min="15893" max="15893" width="13.44140625" customWidth="1"/>
    <col min="15894" max="15894" width="10.88671875" customWidth="1"/>
    <col min="15895" max="15903" width="0" hidden="1" customWidth="1"/>
    <col min="16131" max="16131" width="5.44140625" customWidth="1"/>
    <col min="16132" max="16132" width="28.88671875" customWidth="1"/>
    <col min="16133" max="16133" width="15.33203125" customWidth="1"/>
    <col min="16134" max="16134" width="6.6640625" customWidth="1"/>
    <col min="16135" max="16135" width="7.33203125" customWidth="1"/>
    <col min="16136" max="16136" width="10.44140625" customWidth="1"/>
    <col min="16137" max="16137" width="13.44140625" customWidth="1"/>
    <col min="16138" max="16138" width="19.44140625" customWidth="1"/>
    <col min="16139" max="16139" width="7.109375" customWidth="1"/>
    <col min="16140" max="16140" width="0" hidden="1" customWidth="1"/>
    <col min="16141" max="16141" width="13" customWidth="1"/>
    <col min="16142" max="16142" width="11.33203125" bestFit="1" customWidth="1"/>
    <col min="16143" max="16143" width="12.44140625" bestFit="1" customWidth="1"/>
    <col min="16144" max="16148" width="0" hidden="1" customWidth="1"/>
    <col min="16149" max="16149" width="13.44140625" customWidth="1"/>
    <col min="16150" max="16150" width="10.88671875" customWidth="1"/>
    <col min="16151" max="16159" width="0" hidden="1" customWidth="1"/>
  </cols>
  <sheetData>
    <row r="1" spans="1:33" ht="20.399999999999999" customHeight="1">
      <c r="A1" s="906" t="s">
        <v>1626</v>
      </c>
      <c r="B1" s="906"/>
      <c r="C1" s="906"/>
      <c r="D1" s="906"/>
      <c r="E1" s="906"/>
      <c r="F1" s="906"/>
      <c r="G1" s="906"/>
      <c r="H1" s="906"/>
      <c r="I1" s="906"/>
      <c r="J1" s="906"/>
      <c r="K1" s="906"/>
      <c r="L1" s="906"/>
      <c r="M1" s="906"/>
      <c r="N1" s="906"/>
      <c r="O1" s="906"/>
      <c r="P1" s="906"/>
      <c r="Q1" s="906"/>
      <c r="R1" s="906"/>
      <c r="S1" s="906"/>
      <c r="T1" s="906"/>
      <c r="U1" s="906"/>
      <c r="V1" s="906"/>
      <c r="W1" s="35"/>
      <c r="X1" s="35"/>
      <c r="Y1" s="35"/>
      <c r="Z1" s="35"/>
    </row>
    <row r="2" spans="1:33" ht="20.399999999999999" customHeight="1">
      <c r="A2" s="922" t="s">
        <v>358</v>
      </c>
      <c r="B2" s="922"/>
      <c r="C2" s="922"/>
      <c r="D2" s="922"/>
      <c r="E2" s="922"/>
      <c r="F2" s="922"/>
      <c r="G2" s="922"/>
      <c r="H2" s="922"/>
      <c r="I2" s="922"/>
      <c r="J2" s="922"/>
      <c r="K2" s="922"/>
      <c r="L2" s="922"/>
      <c r="M2" s="922"/>
      <c r="N2" s="922"/>
      <c r="O2" s="922"/>
      <c r="P2" s="922"/>
      <c r="Q2" s="922"/>
      <c r="R2" s="922"/>
      <c r="S2" s="922"/>
      <c r="T2" s="922"/>
      <c r="U2" s="922"/>
      <c r="V2" s="922"/>
      <c r="W2" s="36"/>
      <c r="X2" s="36"/>
      <c r="Y2" s="36"/>
      <c r="Z2" s="36"/>
      <c r="AA2" s="36"/>
      <c r="AB2" s="36"/>
      <c r="AC2" s="36"/>
      <c r="AD2" s="36"/>
    </row>
    <row r="3" spans="1:33" ht="20.399999999999999" customHeight="1">
      <c r="A3" s="906" t="s">
        <v>1617</v>
      </c>
      <c r="B3" s="906"/>
      <c r="C3" s="906"/>
      <c r="D3" s="906"/>
      <c r="E3" s="906"/>
      <c r="F3" s="906"/>
      <c r="G3" s="906"/>
      <c r="H3" s="906"/>
      <c r="I3" s="906"/>
      <c r="J3" s="906"/>
      <c r="K3" s="906"/>
      <c r="L3" s="906"/>
      <c r="M3" s="906"/>
      <c r="N3" s="906"/>
      <c r="O3" s="906"/>
      <c r="P3" s="906"/>
      <c r="Q3" s="906"/>
      <c r="R3" s="906"/>
      <c r="S3" s="906"/>
      <c r="T3" s="906"/>
      <c r="U3" s="906"/>
      <c r="V3" s="906"/>
      <c r="W3" s="37"/>
      <c r="X3" s="37"/>
      <c r="Y3" s="37"/>
      <c r="Z3" s="37"/>
    </row>
    <row r="4" spans="1:33" ht="21" customHeight="1">
      <c r="A4" s="923" t="s">
        <v>387</v>
      </c>
      <c r="B4" s="923"/>
      <c r="C4" s="923"/>
      <c r="D4" s="923"/>
      <c r="E4" s="923"/>
      <c r="F4" s="923"/>
      <c r="G4" s="923"/>
      <c r="H4" s="923"/>
      <c r="I4" s="923"/>
      <c r="J4" s="923"/>
      <c r="K4" s="923"/>
      <c r="L4" s="923"/>
      <c r="M4" s="923"/>
      <c r="N4" s="923"/>
      <c r="O4" s="923"/>
      <c r="P4" s="923"/>
      <c r="Q4" s="923"/>
      <c r="R4" s="923"/>
      <c r="S4" s="923"/>
      <c r="T4" s="923"/>
      <c r="U4" s="923"/>
      <c r="V4" s="923"/>
      <c r="W4" s="38"/>
      <c r="X4" s="38"/>
      <c r="Y4" s="38"/>
      <c r="Z4" s="38"/>
    </row>
    <row r="5" spans="1:33" ht="23.25" customHeight="1">
      <c r="A5" s="39"/>
      <c r="B5" s="40"/>
      <c r="C5" s="24"/>
      <c r="D5" s="24"/>
      <c r="E5" s="24"/>
      <c r="F5" s="41"/>
      <c r="G5" s="23"/>
      <c r="H5" s="23"/>
      <c r="I5" s="23"/>
      <c r="J5" s="25"/>
      <c r="K5" s="23"/>
      <c r="L5" s="42"/>
      <c r="M5" s="42"/>
      <c r="N5" s="42"/>
      <c r="O5" s="42"/>
      <c r="P5" s="42"/>
      <c r="Q5" s="42"/>
      <c r="R5" s="42"/>
      <c r="S5" s="42"/>
      <c r="T5" s="42"/>
      <c r="U5" s="42"/>
      <c r="V5" s="43"/>
      <c r="W5" s="44"/>
      <c r="X5" s="44"/>
      <c r="Y5" s="44"/>
      <c r="Z5" s="44"/>
    </row>
    <row r="6" spans="1:33" ht="34.5" customHeight="1">
      <c r="A6" s="902" t="s">
        <v>403</v>
      </c>
      <c r="B6" s="902" t="s">
        <v>404</v>
      </c>
      <c r="C6" s="905" t="s">
        <v>421</v>
      </c>
      <c r="D6" s="902" t="s">
        <v>4</v>
      </c>
      <c r="E6" s="902" t="s">
        <v>422</v>
      </c>
      <c r="F6" s="905" t="s">
        <v>423</v>
      </c>
      <c r="G6" s="905" t="s">
        <v>424</v>
      </c>
      <c r="H6" s="902" t="s">
        <v>425</v>
      </c>
      <c r="I6" s="905" t="s">
        <v>426</v>
      </c>
      <c r="J6" s="905" t="s">
        <v>427</v>
      </c>
      <c r="K6" s="905"/>
      <c r="L6" s="905"/>
      <c r="M6" s="905"/>
      <c r="N6" s="910" t="s">
        <v>428</v>
      </c>
      <c r="O6" s="911"/>
      <c r="P6" s="912"/>
      <c r="Q6" s="913" t="s">
        <v>429</v>
      </c>
      <c r="R6" s="914"/>
      <c r="S6" s="915"/>
      <c r="T6" s="902" t="s">
        <v>359</v>
      </c>
      <c r="U6" s="902" t="s">
        <v>360</v>
      </c>
      <c r="V6" s="900" t="s">
        <v>16</v>
      </c>
      <c r="W6" s="45">
        <f>40+30+40</f>
        <v>110</v>
      </c>
      <c r="X6" s="45"/>
      <c r="Y6" s="45"/>
      <c r="Z6" s="45"/>
      <c r="AA6" s="46" t="s">
        <v>430</v>
      </c>
      <c r="AB6" s="46"/>
      <c r="AC6" s="46"/>
      <c r="AD6" s="46"/>
      <c r="AE6" s="46"/>
      <c r="AF6" s="46"/>
      <c r="AG6" t="s">
        <v>1578</v>
      </c>
    </row>
    <row r="7" spans="1:33">
      <c r="A7" s="903"/>
      <c r="B7" s="903"/>
      <c r="C7" s="905"/>
      <c r="D7" s="903"/>
      <c r="E7" s="903"/>
      <c r="F7" s="905"/>
      <c r="G7" s="905"/>
      <c r="H7" s="903"/>
      <c r="I7" s="905"/>
      <c r="J7" s="905" t="s">
        <v>410</v>
      </c>
      <c r="K7" s="905" t="s">
        <v>8</v>
      </c>
      <c r="L7" s="905" t="s">
        <v>15</v>
      </c>
      <c r="M7" s="905"/>
      <c r="N7" s="902" t="s">
        <v>19</v>
      </c>
      <c r="O7" s="910" t="s">
        <v>15</v>
      </c>
      <c r="P7" s="912"/>
      <c r="Q7" s="916"/>
      <c r="R7" s="917"/>
      <c r="S7" s="918"/>
      <c r="T7" s="903"/>
      <c r="U7" s="903"/>
      <c r="V7" s="900"/>
      <c r="W7" s="45">
        <v>800000</v>
      </c>
      <c r="X7" s="45"/>
      <c r="Y7" s="45"/>
      <c r="Z7" s="45"/>
      <c r="AA7" s="46" t="s">
        <v>431</v>
      </c>
      <c r="AB7" s="47">
        <f>AB8+AB9</f>
        <v>15030000.000000002</v>
      </c>
      <c r="AC7" s="48" t="s">
        <v>432</v>
      </c>
      <c r="AD7" s="49">
        <v>10914200</v>
      </c>
      <c r="AE7" s="49">
        <v>12796219.500000002</v>
      </c>
      <c r="AF7" s="46"/>
    </row>
    <row r="8" spans="1:33">
      <c r="A8" s="903"/>
      <c r="B8" s="903"/>
      <c r="C8" s="905"/>
      <c r="D8" s="903"/>
      <c r="E8" s="903"/>
      <c r="F8" s="905"/>
      <c r="G8" s="905"/>
      <c r="H8" s="903"/>
      <c r="I8" s="905"/>
      <c r="J8" s="905"/>
      <c r="K8" s="905"/>
      <c r="L8" s="905" t="s">
        <v>21</v>
      </c>
      <c r="M8" s="905" t="s">
        <v>433</v>
      </c>
      <c r="N8" s="903"/>
      <c r="O8" s="902" t="s">
        <v>21</v>
      </c>
      <c r="P8" s="902" t="s">
        <v>433</v>
      </c>
      <c r="Q8" s="916"/>
      <c r="R8" s="917"/>
      <c r="S8" s="918"/>
      <c r="T8" s="903"/>
      <c r="U8" s="903"/>
      <c r="V8" s="900"/>
      <c r="W8" s="45">
        <v>2730030</v>
      </c>
      <c r="X8" s="45"/>
      <c r="Y8" s="45"/>
      <c r="Z8" s="45"/>
      <c r="AA8" s="46" t="s">
        <v>434</v>
      </c>
      <c r="AB8" s="47">
        <v>4115800.0000000019</v>
      </c>
      <c r="AC8" s="48" t="s">
        <v>435</v>
      </c>
      <c r="AD8" s="47">
        <f>AD7-R11</f>
        <v>8764180</v>
      </c>
      <c r="AE8" s="47">
        <f>AE7-S11</f>
        <v>-11966817.120999997</v>
      </c>
      <c r="AF8" s="46"/>
    </row>
    <row r="9" spans="1:33" ht="19.5" customHeight="1">
      <c r="A9" s="904"/>
      <c r="B9" s="904"/>
      <c r="C9" s="905"/>
      <c r="D9" s="904"/>
      <c r="E9" s="904"/>
      <c r="F9" s="905"/>
      <c r="G9" s="905"/>
      <c r="H9" s="904"/>
      <c r="I9" s="905"/>
      <c r="J9" s="905"/>
      <c r="K9" s="905"/>
      <c r="L9" s="905"/>
      <c r="M9" s="905"/>
      <c r="N9" s="904"/>
      <c r="O9" s="904"/>
      <c r="P9" s="904"/>
      <c r="Q9" s="919"/>
      <c r="R9" s="920"/>
      <c r="S9" s="921"/>
      <c r="T9" s="904"/>
      <c r="U9" s="904"/>
      <c r="V9" s="900"/>
      <c r="W9" s="50" t="e">
        <f>W11-W10</f>
        <v>#REF!</v>
      </c>
      <c r="X9" s="50"/>
      <c r="Y9" s="45"/>
      <c r="Z9" s="45"/>
      <c r="AA9" s="46" t="s">
        <v>436</v>
      </c>
      <c r="AB9" s="47">
        <v>10914200</v>
      </c>
      <c r="AC9" s="48" t="s">
        <v>437</v>
      </c>
      <c r="AD9" s="49">
        <v>17803077.5</v>
      </c>
      <c r="AE9" s="46"/>
      <c r="AF9" s="46"/>
    </row>
    <row r="10" spans="1:33">
      <c r="A10" s="51">
        <v>1</v>
      </c>
      <c r="B10" s="52">
        <v>2</v>
      </c>
      <c r="C10" s="53">
        <v>3</v>
      </c>
      <c r="D10" s="53">
        <v>4</v>
      </c>
      <c r="E10" s="53">
        <v>5</v>
      </c>
      <c r="F10" s="53">
        <v>6</v>
      </c>
      <c r="G10" s="53">
        <v>7</v>
      </c>
      <c r="H10" s="53">
        <v>8</v>
      </c>
      <c r="I10" s="53">
        <v>9</v>
      </c>
      <c r="J10" s="53">
        <v>7</v>
      </c>
      <c r="K10" s="53">
        <v>10</v>
      </c>
      <c r="L10" s="53">
        <v>11</v>
      </c>
      <c r="M10" s="53">
        <v>12</v>
      </c>
      <c r="N10" s="53">
        <v>11</v>
      </c>
      <c r="O10" s="53">
        <v>12</v>
      </c>
      <c r="P10" s="53">
        <v>13</v>
      </c>
      <c r="Q10" s="53">
        <v>14</v>
      </c>
      <c r="R10" s="53">
        <v>15</v>
      </c>
      <c r="S10" s="53">
        <v>13</v>
      </c>
      <c r="T10" s="53"/>
      <c r="U10" s="53"/>
      <c r="V10" s="54">
        <v>14</v>
      </c>
      <c r="W10" s="55" t="e">
        <f>#REF!+#REF!+W61+W62+W151+#REF!+#REF!+W220+#REF!+#REF!+#REF!+#REF!+#REF!+#REF!+#REF!+#REF!+#REF!+#REF!+#REF!+#REF!+#REF!+W247+W248+#REF!+#REF!+#REF!+#REF!+#REF!+#REF!+#REF!+#REF!+#REF!+#REF!+#REF!+#REF!+#REF!+#REF!+#REF!+#REF!+#REF!+#REF!+#REF!+#REF!+#REF!+#REF!+#REF!+#REF!+W334+W336+W361+#REF!+#REF!+#REF!+#REF!+#REF!+#REF!+#REF!+#REF!+#REF!</f>
        <v>#REF!</v>
      </c>
      <c r="X10" s="55"/>
      <c r="Y10" s="55">
        <v>59</v>
      </c>
      <c r="Z10" s="55"/>
      <c r="AA10" s="46"/>
      <c r="AB10" s="46"/>
      <c r="AC10" s="48" t="s">
        <v>438</v>
      </c>
      <c r="AD10" s="47">
        <f>AD9-M11</f>
        <v>-11910872.751000002</v>
      </c>
      <c r="AE10" s="46" t="s">
        <v>439</v>
      </c>
      <c r="AF10" s="46"/>
    </row>
    <row r="11" spans="1:33" ht="22.65" customHeight="1">
      <c r="A11" s="56"/>
      <c r="B11" s="57" t="s">
        <v>365</v>
      </c>
      <c r="C11" s="56"/>
      <c r="D11" s="56"/>
      <c r="E11" s="56"/>
      <c r="F11" s="56"/>
      <c r="G11" s="56"/>
      <c r="H11" s="56"/>
      <c r="I11" s="56"/>
      <c r="J11" s="56"/>
      <c r="K11" s="58">
        <f>K12+K50</f>
        <v>56238536.251000002</v>
      </c>
      <c r="L11" s="58">
        <f t="shared" ref="L11:T11" si="0">L12+L50</f>
        <v>26724386</v>
      </c>
      <c r="M11" s="58">
        <f t="shared" si="0"/>
        <v>29713950.251000002</v>
      </c>
      <c r="N11" s="58">
        <f t="shared" si="0"/>
        <v>145326</v>
      </c>
      <c r="O11" s="58">
        <f t="shared" si="0"/>
        <v>131971</v>
      </c>
      <c r="P11" s="58">
        <f t="shared" si="0"/>
        <v>4952306</v>
      </c>
      <c r="Q11" s="58">
        <f t="shared" si="0"/>
        <v>6196473</v>
      </c>
      <c r="R11" s="58">
        <f t="shared" si="0"/>
        <v>2150020</v>
      </c>
      <c r="S11" s="58">
        <f t="shared" si="0"/>
        <v>24763036.620999999</v>
      </c>
      <c r="T11" s="58">
        <f t="shared" si="0"/>
        <v>1993820.2</v>
      </c>
      <c r="U11" s="58">
        <f>U12+U50</f>
        <v>1433610.2</v>
      </c>
      <c r="V11" s="59"/>
      <c r="W11" s="55">
        <f>M11-S11</f>
        <v>4950913.6300000027</v>
      </c>
      <c r="X11" s="55"/>
      <c r="Y11" s="55"/>
      <c r="Z11" s="55"/>
      <c r="AA11" s="47">
        <f>M11-S11</f>
        <v>4950913.6300000027</v>
      </c>
      <c r="AB11" s="46"/>
      <c r="AC11" s="46"/>
      <c r="AD11" s="46"/>
      <c r="AE11" s="46"/>
      <c r="AF11" s="46"/>
    </row>
    <row r="12" spans="1:33" ht="30" customHeight="1">
      <c r="A12" s="60" t="s">
        <v>35</v>
      </c>
      <c r="B12" s="61" t="s">
        <v>440</v>
      </c>
      <c r="C12" s="62"/>
      <c r="D12" s="62"/>
      <c r="E12" s="62"/>
      <c r="F12" s="62"/>
      <c r="G12" s="62"/>
      <c r="H12" s="62"/>
      <c r="I12" s="62"/>
      <c r="J12" s="62"/>
      <c r="K12" s="63">
        <f>K13+K28+K30+K34+K37+K44+K46+K48</f>
        <v>30717605.250999998</v>
      </c>
      <c r="L12" s="63">
        <f t="shared" ref="L12:S12" si="1">L13+L28+L30+L34+L37+L44+L46+L48</f>
        <v>26319537</v>
      </c>
      <c r="M12" s="63">
        <f t="shared" si="1"/>
        <v>4597868.2510000002</v>
      </c>
      <c r="N12" s="63">
        <f t="shared" si="1"/>
        <v>16971</v>
      </c>
      <c r="O12" s="63">
        <f t="shared" si="1"/>
        <v>16971</v>
      </c>
      <c r="P12" s="63">
        <f t="shared" si="1"/>
        <v>4766971</v>
      </c>
      <c r="Q12" s="63">
        <f t="shared" si="1"/>
        <v>3167191</v>
      </c>
      <c r="R12" s="63">
        <f t="shared" si="1"/>
        <v>1617171</v>
      </c>
      <c r="S12" s="63">
        <f t="shared" si="1"/>
        <v>4411211.2510000002</v>
      </c>
      <c r="T12" s="63">
        <f>T13+T28+T30+T34+T37+T44+T46+T48</f>
        <v>88495</v>
      </c>
      <c r="U12" s="63">
        <f>U13+U28+U30+U34+U37+U44+U46+U48</f>
        <v>25595</v>
      </c>
      <c r="V12" s="64"/>
      <c r="W12" s="55"/>
      <c r="X12" s="55"/>
      <c r="Y12" s="55"/>
      <c r="Z12" s="55"/>
      <c r="AA12" s="47"/>
      <c r="AB12" s="46"/>
      <c r="AC12" s="46"/>
      <c r="AD12" s="46"/>
      <c r="AE12" s="46"/>
      <c r="AF12" s="46"/>
    </row>
    <row r="13" spans="1:33" ht="20.100000000000001" customHeight="1">
      <c r="A13" s="65" t="s">
        <v>441</v>
      </c>
      <c r="B13" s="66" t="s">
        <v>442</v>
      </c>
      <c r="C13" s="67"/>
      <c r="D13" s="67"/>
      <c r="E13" s="67"/>
      <c r="F13" s="67"/>
      <c r="G13" s="67"/>
      <c r="H13" s="67"/>
      <c r="I13" s="67"/>
      <c r="J13" s="67"/>
      <c r="K13" s="68">
        <f t="shared" ref="K13:S13" si="2">SUM(K14:K27)</f>
        <v>23550000</v>
      </c>
      <c r="L13" s="68">
        <f t="shared" si="2"/>
        <v>20085000</v>
      </c>
      <c r="M13" s="68">
        <f t="shared" si="2"/>
        <v>3465000</v>
      </c>
      <c r="N13" s="68">
        <f t="shared" si="2"/>
        <v>0</v>
      </c>
      <c r="O13" s="68">
        <f t="shared" si="2"/>
        <v>0</v>
      </c>
      <c r="P13" s="68">
        <f t="shared" si="2"/>
        <v>4350000</v>
      </c>
      <c r="Q13" s="68">
        <f t="shared" si="2"/>
        <v>2800000</v>
      </c>
      <c r="R13" s="68">
        <f t="shared" si="2"/>
        <v>1550000</v>
      </c>
      <c r="S13" s="68">
        <f t="shared" si="2"/>
        <v>3325000</v>
      </c>
      <c r="T13" s="68">
        <f>SUM(T14:T27)</f>
        <v>62700</v>
      </c>
      <c r="U13" s="68">
        <f>SUM(U14:U27)</f>
        <v>0</v>
      </c>
      <c r="V13" s="69"/>
      <c r="W13" s="55"/>
      <c r="X13" s="55"/>
      <c r="Y13" s="55"/>
      <c r="Z13" s="55"/>
      <c r="AA13" s="47"/>
      <c r="AB13" s="46"/>
      <c r="AC13" s="46"/>
      <c r="AD13" s="46"/>
      <c r="AE13" s="46"/>
      <c r="AF13" s="46"/>
    </row>
    <row r="14" spans="1:33" ht="40.200000000000003" customHeight="1">
      <c r="A14" s="70">
        <v>1</v>
      </c>
      <c r="B14" s="71" t="s">
        <v>443</v>
      </c>
      <c r="C14" s="72" t="s">
        <v>246</v>
      </c>
      <c r="D14" s="72" t="s">
        <v>47</v>
      </c>
      <c r="E14" s="72" t="s">
        <v>47</v>
      </c>
      <c r="F14" s="72" t="s">
        <v>444</v>
      </c>
      <c r="G14" s="72" t="s">
        <v>445</v>
      </c>
      <c r="H14" s="73" t="s">
        <v>446</v>
      </c>
      <c r="I14" s="72" t="s">
        <v>416</v>
      </c>
      <c r="J14" s="72"/>
      <c r="K14" s="74">
        <v>2350000</v>
      </c>
      <c r="L14" s="74">
        <v>2115000</v>
      </c>
      <c r="M14" s="74">
        <v>235000</v>
      </c>
      <c r="N14" s="75"/>
      <c r="O14" s="75"/>
      <c r="P14" s="75"/>
      <c r="Q14" s="75"/>
      <c r="R14" s="75"/>
      <c r="S14" s="75">
        <f>M14</f>
        <v>235000</v>
      </c>
      <c r="T14" s="74">
        <v>23500</v>
      </c>
      <c r="U14" s="74"/>
      <c r="V14" s="76"/>
      <c r="W14" s="55"/>
      <c r="X14" s="55"/>
      <c r="Y14" s="55"/>
      <c r="Z14" s="55"/>
      <c r="AA14" s="47"/>
      <c r="AB14" s="46"/>
      <c r="AC14" s="46"/>
      <c r="AD14" s="46"/>
      <c r="AE14" s="46"/>
      <c r="AF14" s="46"/>
    </row>
    <row r="15" spans="1:33" ht="40.200000000000003" customHeight="1">
      <c r="A15" s="70">
        <f>MAX(A$14:$A14)+1</f>
        <v>2</v>
      </c>
      <c r="B15" s="71" t="s">
        <v>447</v>
      </c>
      <c r="C15" s="72" t="s">
        <v>246</v>
      </c>
      <c r="D15" s="72" t="s">
        <v>47</v>
      </c>
      <c r="E15" s="72" t="s">
        <v>47</v>
      </c>
      <c r="F15" s="72" t="s">
        <v>448</v>
      </c>
      <c r="G15" s="72" t="s">
        <v>449</v>
      </c>
      <c r="H15" s="73" t="s">
        <v>450</v>
      </c>
      <c r="I15" s="72" t="s">
        <v>416</v>
      </c>
      <c r="J15" s="72"/>
      <c r="K15" s="74">
        <v>600000</v>
      </c>
      <c r="L15" s="74">
        <f>+K15*0.9</f>
        <v>540000</v>
      </c>
      <c r="M15" s="74">
        <f>+K15*0.1</f>
        <v>60000</v>
      </c>
      <c r="N15" s="75"/>
      <c r="O15" s="75"/>
      <c r="P15" s="75"/>
      <c r="Q15" s="75"/>
      <c r="R15" s="75"/>
      <c r="S15" s="75">
        <f>+M15</f>
        <v>60000</v>
      </c>
      <c r="T15" s="74">
        <v>6000</v>
      </c>
      <c r="U15" s="74"/>
      <c r="V15" s="76"/>
      <c r="W15" s="55"/>
      <c r="X15" s="55"/>
      <c r="Y15" s="55"/>
      <c r="Z15" s="55"/>
      <c r="AA15" s="47"/>
      <c r="AB15" s="46"/>
      <c r="AC15" s="46"/>
      <c r="AD15" s="46"/>
      <c r="AE15" s="46"/>
      <c r="AF15" s="46"/>
    </row>
    <row r="16" spans="1:33" ht="40.200000000000003" customHeight="1">
      <c r="A16" s="70">
        <f>MAX(A$14:$A15)+1</f>
        <v>3</v>
      </c>
      <c r="B16" s="71" t="s">
        <v>451</v>
      </c>
      <c r="C16" s="72" t="s">
        <v>246</v>
      </c>
      <c r="D16" s="72" t="s">
        <v>47</v>
      </c>
      <c r="E16" s="72" t="s">
        <v>47</v>
      </c>
      <c r="F16" s="72" t="s">
        <v>452</v>
      </c>
      <c r="G16" s="72" t="s">
        <v>453</v>
      </c>
      <c r="H16" s="73" t="s">
        <v>446</v>
      </c>
      <c r="I16" s="72" t="s">
        <v>416</v>
      </c>
      <c r="J16" s="72"/>
      <c r="K16" s="74">
        <v>850000</v>
      </c>
      <c r="L16" s="74">
        <f>K16*90%</f>
        <v>765000</v>
      </c>
      <c r="M16" s="74">
        <f>K16-L16</f>
        <v>85000</v>
      </c>
      <c r="N16" s="75"/>
      <c r="O16" s="75"/>
      <c r="P16" s="75"/>
      <c r="Q16" s="75"/>
      <c r="R16" s="75"/>
      <c r="S16" s="75">
        <f>M16</f>
        <v>85000</v>
      </c>
      <c r="T16" s="74">
        <v>8500</v>
      </c>
      <c r="U16" s="74"/>
      <c r="V16" s="76"/>
      <c r="W16" s="55"/>
      <c r="X16" s="55"/>
      <c r="Y16" s="55"/>
      <c r="Z16" s="55"/>
      <c r="AA16" s="47"/>
      <c r="AB16" s="46"/>
      <c r="AC16" s="46"/>
      <c r="AD16" s="46"/>
      <c r="AE16" s="46"/>
      <c r="AF16" s="46"/>
    </row>
    <row r="17" spans="1:32" ht="40.200000000000003" customHeight="1">
      <c r="A17" s="70">
        <f>MAX(A$14:$A16)+1</f>
        <v>4</v>
      </c>
      <c r="B17" s="71" t="s">
        <v>454</v>
      </c>
      <c r="C17" s="72" t="s">
        <v>246</v>
      </c>
      <c r="D17" s="72" t="s">
        <v>47</v>
      </c>
      <c r="E17" s="72" t="s">
        <v>47</v>
      </c>
      <c r="F17" s="72" t="s">
        <v>455</v>
      </c>
      <c r="G17" s="72" t="s">
        <v>456</v>
      </c>
      <c r="H17" s="73" t="s">
        <v>446</v>
      </c>
      <c r="I17" s="72" t="s">
        <v>416</v>
      </c>
      <c r="J17" s="72"/>
      <c r="K17" s="74">
        <v>2350000</v>
      </c>
      <c r="L17" s="74">
        <f>K17*90%</f>
        <v>2115000</v>
      </c>
      <c r="M17" s="74">
        <f>K17-L17</f>
        <v>235000</v>
      </c>
      <c r="N17" s="75"/>
      <c r="O17" s="75"/>
      <c r="P17" s="75"/>
      <c r="Q17" s="75"/>
      <c r="R17" s="75"/>
      <c r="S17" s="75">
        <f>M17</f>
        <v>235000</v>
      </c>
      <c r="T17" s="74">
        <v>23500</v>
      </c>
      <c r="U17" s="74"/>
      <c r="V17" s="76"/>
      <c r="W17" s="55"/>
      <c r="X17" s="55"/>
      <c r="Y17" s="55"/>
      <c r="Z17" s="55"/>
      <c r="AA17" s="47"/>
      <c r="AB17" s="46"/>
      <c r="AC17" s="46"/>
      <c r="AD17" s="46"/>
      <c r="AE17" s="46"/>
      <c r="AF17" s="46"/>
    </row>
    <row r="18" spans="1:32" ht="40.200000000000003" customHeight="1">
      <c r="A18" s="70">
        <f>MAX(A$14:$A17)+1</f>
        <v>5</v>
      </c>
      <c r="B18" s="71" t="s">
        <v>457</v>
      </c>
      <c r="C18" s="72" t="s">
        <v>458</v>
      </c>
      <c r="D18" s="72" t="s">
        <v>47</v>
      </c>
      <c r="E18" s="72" t="s">
        <v>47</v>
      </c>
      <c r="F18" s="72" t="s">
        <v>459</v>
      </c>
      <c r="G18" s="72" t="s">
        <v>460</v>
      </c>
      <c r="H18" s="73" t="s">
        <v>461</v>
      </c>
      <c r="I18" s="72" t="s">
        <v>462</v>
      </c>
      <c r="J18" s="72"/>
      <c r="K18" s="74">
        <v>2800000</v>
      </c>
      <c r="L18" s="74">
        <f>K18-M18</f>
        <v>1500000</v>
      </c>
      <c r="M18" s="74">
        <v>1300000</v>
      </c>
      <c r="N18" s="75">
        <v>0</v>
      </c>
      <c r="O18" s="75">
        <v>0</v>
      </c>
      <c r="P18" s="75">
        <f>Q18+R18</f>
        <v>2800000</v>
      </c>
      <c r="Q18" s="75">
        <v>1500000</v>
      </c>
      <c r="R18" s="75">
        <v>1300000</v>
      </c>
      <c r="S18" s="75">
        <v>1300000</v>
      </c>
      <c r="T18" s="74">
        <v>500</v>
      </c>
      <c r="U18" s="74"/>
      <c r="V18" s="76"/>
      <c r="W18" s="55"/>
      <c r="X18" s="55"/>
      <c r="Y18" s="55"/>
      <c r="Z18" s="55"/>
      <c r="AA18" s="47"/>
      <c r="AB18" s="46"/>
      <c r="AC18" s="46"/>
      <c r="AD18" s="46"/>
      <c r="AE18" s="46"/>
      <c r="AF18" s="46"/>
    </row>
    <row r="19" spans="1:32" ht="40.200000000000003" customHeight="1">
      <c r="A19" s="70">
        <f>MAX(A$14:$A18)+1</f>
        <v>6</v>
      </c>
      <c r="B19" s="77" t="s">
        <v>463</v>
      </c>
      <c r="C19" s="78" t="s">
        <v>458</v>
      </c>
      <c r="D19" s="78" t="s">
        <v>47</v>
      </c>
      <c r="E19" s="78" t="s">
        <v>47</v>
      </c>
      <c r="F19" s="78" t="s">
        <v>464</v>
      </c>
      <c r="G19" s="78" t="s">
        <v>465</v>
      </c>
      <c r="H19" s="78" t="s">
        <v>466</v>
      </c>
      <c r="I19" s="78" t="s">
        <v>462</v>
      </c>
      <c r="J19" s="79"/>
      <c r="K19" s="80">
        <v>350000</v>
      </c>
      <c r="L19" s="80">
        <f>K19-M19</f>
        <v>300000</v>
      </c>
      <c r="M19" s="80">
        <v>50000</v>
      </c>
      <c r="N19" s="80">
        <v>0</v>
      </c>
      <c r="O19" s="80">
        <v>0</v>
      </c>
      <c r="P19" s="80">
        <v>350000</v>
      </c>
      <c r="Q19" s="80">
        <f>P19-R19</f>
        <v>300000</v>
      </c>
      <c r="R19" s="80">
        <v>50000</v>
      </c>
      <c r="S19" s="80">
        <v>50000</v>
      </c>
      <c r="T19" s="80">
        <v>200</v>
      </c>
      <c r="U19" s="80"/>
      <c r="V19" s="76"/>
      <c r="W19" s="55"/>
      <c r="X19" s="55"/>
      <c r="Y19" s="55"/>
      <c r="Z19" s="55"/>
      <c r="AA19" s="47"/>
      <c r="AB19" s="46"/>
      <c r="AC19" s="46"/>
      <c r="AD19" s="46"/>
      <c r="AE19" s="46"/>
      <c r="AF19" s="46"/>
    </row>
    <row r="20" spans="1:32" ht="40.200000000000003" customHeight="1">
      <c r="A20" s="70">
        <f>MAX(A$14:$A19)+1</f>
        <v>7</v>
      </c>
      <c r="B20" s="77" t="s">
        <v>467</v>
      </c>
      <c r="C20" s="78" t="s">
        <v>458</v>
      </c>
      <c r="D20" s="78" t="s">
        <v>47</v>
      </c>
      <c r="E20" s="78" t="s">
        <v>47</v>
      </c>
      <c r="F20" s="78" t="s">
        <v>468</v>
      </c>
      <c r="G20" s="78" t="s">
        <v>469</v>
      </c>
      <c r="H20" s="78" t="s">
        <v>470</v>
      </c>
      <c r="I20" s="78" t="s">
        <v>462</v>
      </c>
      <c r="J20" s="79"/>
      <c r="K20" s="80">
        <v>1200000</v>
      </c>
      <c r="L20" s="80">
        <f>K20-M20</f>
        <v>1000000</v>
      </c>
      <c r="M20" s="80">
        <v>200000</v>
      </c>
      <c r="N20" s="80">
        <v>0</v>
      </c>
      <c r="O20" s="80">
        <v>0</v>
      </c>
      <c r="P20" s="80">
        <v>1200000</v>
      </c>
      <c r="Q20" s="80">
        <f>P20-R20</f>
        <v>1000000</v>
      </c>
      <c r="R20" s="80">
        <v>200000</v>
      </c>
      <c r="S20" s="80">
        <v>200000</v>
      </c>
      <c r="T20" s="80">
        <v>500</v>
      </c>
      <c r="U20" s="80"/>
      <c r="V20" s="76"/>
      <c r="W20" s="55"/>
      <c r="X20" s="55"/>
      <c r="Y20" s="55"/>
      <c r="Z20" s="55"/>
      <c r="AA20" s="47"/>
      <c r="AB20" s="46"/>
      <c r="AC20" s="46"/>
      <c r="AD20" s="46"/>
      <c r="AE20" s="46"/>
      <c r="AF20" s="46"/>
    </row>
    <row r="21" spans="1:32" s="83" customFormat="1" ht="40.200000000000003" customHeight="1">
      <c r="A21" s="70">
        <f>MAX(A$14:$A20)+1</f>
        <v>8</v>
      </c>
      <c r="B21" s="71" t="s">
        <v>471</v>
      </c>
      <c r="C21" s="73" t="s">
        <v>472</v>
      </c>
      <c r="D21" s="72" t="s">
        <v>47</v>
      </c>
      <c r="E21" s="72" t="s">
        <v>47</v>
      </c>
      <c r="F21" s="72" t="s">
        <v>312</v>
      </c>
      <c r="G21" s="72" t="s">
        <v>473</v>
      </c>
      <c r="H21" s="72" t="s">
        <v>474</v>
      </c>
      <c r="I21" s="72" t="s">
        <v>475</v>
      </c>
      <c r="J21" s="72"/>
      <c r="K21" s="75">
        <v>290000</v>
      </c>
      <c r="L21" s="75">
        <f>+K21-M21</f>
        <v>260000</v>
      </c>
      <c r="M21" s="75">
        <v>30000</v>
      </c>
      <c r="N21" s="75"/>
      <c r="O21" s="75"/>
      <c r="P21" s="75"/>
      <c r="Q21" s="75"/>
      <c r="R21" s="75"/>
      <c r="S21" s="75">
        <v>30000</v>
      </c>
      <c r="T21" s="75"/>
      <c r="U21" s="75"/>
      <c r="V21" s="76"/>
      <c r="W21" s="55"/>
      <c r="X21" s="55"/>
      <c r="Y21" s="55"/>
      <c r="Z21" s="55"/>
      <c r="AA21" s="81"/>
      <c r="AB21" s="82"/>
      <c r="AC21" s="82"/>
      <c r="AD21" s="82"/>
      <c r="AE21" s="82"/>
      <c r="AF21" s="82"/>
    </row>
    <row r="22" spans="1:32" s="83" customFormat="1" ht="40.200000000000003" customHeight="1">
      <c r="A22" s="70">
        <f>MAX(A$14:$A21)+1</f>
        <v>9</v>
      </c>
      <c r="B22" s="71" t="s">
        <v>476</v>
      </c>
      <c r="C22" s="73" t="s">
        <v>472</v>
      </c>
      <c r="D22" s="72" t="s">
        <v>47</v>
      </c>
      <c r="E22" s="72" t="s">
        <v>47</v>
      </c>
      <c r="F22" s="72" t="s">
        <v>312</v>
      </c>
      <c r="G22" s="72" t="s">
        <v>477</v>
      </c>
      <c r="H22" s="72" t="s">
        <v>474</v>
      </c>
      <c r="I22" s="72" t="s">
        <v>475</v>
      </c>
      <c r="J22" s="72"/>
      <c r="K22" s="75">
        <v>270000</v>
      </c>
      <c r="L22" s="75">
        <f>+K22-M22</f>
        <v>240000</v>
      </c>
      <c r="M22" s="75">
        <v>30000</v>
      </c>
      <c r="N22" s="75"/>
      <c r="O22" s="75"/>
      <c r="P22" s="75"/>
      <c r="Q22" s="75"/>
      <c r="R22" s="75"/>
      <c r="S22" s="75">
        <v>30000</v>
      </c>
      <c r="T22" s="75"/>
      <c r="U22" s="75"/>
      <c r="V22" s="76"/>
      <c r="W22" s="55"/>
      <c r="X22" s="55"/>
      <c r="Y22" s="55"/>
      <c r="Z22" s="55"/>
      <c r="AA22" s="81"/>
      <c r="AB22" s="82"/>
      <c r="AC22" s="82"/>
      <c r="AD22" s="82"/>
      <c r="AE22" s="82"/>
      <c r="AF22" s="82"/>
    </row>
    <row r="23" spans="1:32" s="83" customFormat="1" ht="40.200000000000003" customHeight="1">
      <c r="A23" s="70">
        <f>MAX(A$14:$A22)+1</f>
        <v>10</v>
      </c>
      <c r="B23" s="71" t="s">
        <v>478</v>
      </c>
      <c r="C23" s="73" t="s">
        <v>472</v>
      </c>
      <c r="D23" s="72" t="s">
        <v>47</v>
      </c>
      <c r="E23" s="72" t="s">
        <v>47</v>
      </c>
      <c r="F23" s="72" t="s">
        <v>479</v>
      </c>
      <c r="G23" s="72" t="s">
        <v>480</v>
      </c>
      <c r="H23" s="72" t="s">
        <v>481</v>
      </c>
      <c r="I23" s="72" t="s">
        <v>475</v>
      </c>
      <c r="J23" s="72"/>
      <c r="K23" s="75">
        <v>1350000</v>
      </c>
      <c r="L23" s="75">
        <v>1250000</v>
      </c>
      <c r="M23" s="75">
        <v>100000</v>
      </c>
      <c r="N23" s="75"/>
      <c r="O23" s="75"/>
      <c r="P23" s="75"/>
      <c r="Q23" s="75"/>
      <c r="R23" s="75"/>
      <c r="S23" s="75">
        <v>100000</v>
      </c>
      <c r="T23" s="75"/>
      <c r="U23" s="75"/>
      <c r="V23" s="76"/>
      <c r="W23" s="55"/>
      <c r="X23" s="55"/>
      <c r="Y23" s="55"/>
      <c r="Z23" s="55"/>
      <c r="AA23" s="81"/>
      <c r="AB23" s="82"/>
      <c r="AC23" s="82"/>
      <c r="AD23" s="82"/>
      <c r="AE23" s="82"/>
      <c r="AF23" s="82"/>
    </row>
    <row r="24" spans="1:32" s="83" customFormat="1" ht="40.200000000000003" customHeight="1">
      <c r="A24" s="70">
        <f>MAX(A$14:$A23)+1</f>
        <v>11</v>
      </c>
      <c r="B24" s="71" t="s">
        <v>482</v>
      </c>
      <c r="C24" s="73" t="s">
        <v>472</v>
      </c>
      <c r="D24" s="72" t="s">
        <v>47</v>
      </c>
      <c r="E24" s="72" t="s">
        <v>47</v>
      </c>
      <c r="F24" s="72" t="s">
        <v>483</v>
      </c>
      <c r="G24" s="72" t="s">
        <v>484</v>
      </c>
      <c r="H24" s="72" t="s">
        <v>485</v>
      </c>
      <c r="I24" s="72" t="s">
        <v>475</v>
      </c>
      <c r="J24" s="72"/>
      <c r="K24" s="75">
        <v>1250000</v>
      </c>
      <c r="L24" s="75">
        <v>1100000</v>
      </c>
      <c r="M24" s="75">
        <v>150000</v>
      </c>
      <c r="N24" s="75"/>
      <c r="O24" s="75"/>
      <c r="P24" s="75"/>
      <c r="Q24" s="75"/>
      <c r="R24" s="75"/>
      <c r="S24" s="75">
        <v>150000</v>
      </c>
      <c r="T24" s="75"/>
      <c r="U24" s="75"/>
      <c r="V24" s="76"/>
      <c r="W24" s="55"/>
      <c r="X24" s="55"/>
      <c r="Y24" s="55"/>
      <c r="Z24" s="55"/>
      <c r="AA24" s="81"/>
      <c r="AB24" s="82"/>
      <c r="AC24" s="82"/>
      <c r="AD24" s="82"/>
      <c r="AE24" s="82"/>
      <c r="AF24" s="82"/>
    </row>
    <row r="25" spans="1:32" s="83" customFormat="1" ht="40.200000000000003" customHeight="1">
      <c r="A25" s="70">
        <f>MAX(A$14:$A24)+1</f>
        <v>12</v>
      </c>
      <c r="B25" s="71" t="s">
        <v>486</v>
      </c>
      <c r="C25" s="73" t="s">
        <v>472</v>
      </c>
      <c r="D25" s="72" t="s">
        <v>47</v>
      </c>
      <c r="E25" s="72" t="s">
        <v>47</v>
      </c>
      <c r="F25" s="72" t="s">
        <v>487</v>
      </c>
      <c r="G25" s="72" t="s">
        <v>488</v>
      </c>
      <c r="H25" s="72" t="s">
        <v>489</v>
      </c>
      <c r="I25" s="72" t="s">
        <v>475</v>
      </c>
      <c r="J25" s="72"/>
      <c r="K25" s="75">
        <v>1450000</v>
      </c>
      <c r="L25" s="75">
        <v>1200000</v>
      </c>
      <c r="M25" s="75">
        <f>+K25-L25</f>
        <v>250000</v>
      </c>
      <c r="N25" s="75"/>
      <c r="O25" s="75"/>
      <c r="P25" s="75"/>
      <c r="Q25" s="75"/>
      <c r="R25" s="75"/>
      <c r="S25" s="75">
        <v>250000</v>
      </c>
      <c r="T25" s="75"/>
      <c r="U25" s="75"/>
      <c r="V25" s="76"/>
      <c r="W25" s="55"/>
      <c r="X25" s="55"/>
      <c r="Y25" s="55"/>
      <c r="Z25" s="55"/>
      <c r="AA25" s="81"/>
      <c r="AB25" s="82"/>
      <c r="AC25" s="82"/>
      <c r="AD25" s="82"/>
      <c r="AE25" s="82"/>
      <c r="AF25" s="82"/>
    </row>
    <row r="26" spans="1:32" s="83" customFormat="1" ht="40.200000000000003" customHeight="1">
      <c r="A26" s="70">
        <f>MAX(A$14:$A25)+1</f>
        <v>13</v>
      </c>
      <c r="B26" s="71" t="s">
        <v>490</v>
      </c>
      <c r="C26" s="73" t="s">
        <v>472</v>
      </c>
      <c r="D26" s="72" t="s">
        <v>35</v>
      </c>
      <c r="E26" s="72" t="s">
        <v>35</v>
      </c>
      <c r="F26" s="72" t="s">
        <v>491</v>
      </c>
      <c r="G26" s="72" t="s">
        <v>492</v>
      </c>
      <c r="H26" s="72" t="s">
        <v>493</v>
      </c>
      <c r="I26" s="72" t="s">
        <v>475</v>
      </c>
      <c r="J26" s="72"/>
      <c r="K26" s="75">
        <v>4700000</v>
      </c>
      <c r="L26" s="75">
        <v>4200000</v>
      </c>
      <c r="M26" s="75">
        <v>500000</v>
      </c>
      <c r="N26" s="75"/>
      <c r="O26" s="75"/>
      <c r="P26" s="75"/>
      <c r="Q26" s="75"/>
      <c r="R26" s="75"/>
      <c r="S26" s="75">
        <v>500000</v>
      </c>
      <c r="T26" s="75"/>
      <c r="U26" s="75"/>
      <c r="V26" s="76"/>
      <c r="W26" s="55"/>
      <c r="X26" s="55"/>
      <c r="Y26" s="55"/>
      <c r="Z26" s="55"/>
      <c r="AA26" s="81"/>
      <c r="AB26" s="82"/>
      <c r="AC26" s="82"/>
      <c r="AD26" s="82"/>
      <c r="AE26" s="82"/>
      <c r="AF26" s="82"/>
    </row>
    <row r="27" spans="1:32" s="83" customFormat="1" ht="40.200000000000003" customHeight="1">
      <c r="A27" s="70">
        <f>MAX(A$14:$A26)+1</f>
        <v>14</v>
      </c>
      <c r="B27" s="71" t="s">
        <v>494</v>
      </c>
      <c r="C27" s="73" t="s">
        <v>472</v>
      </c>
      <c r="D27" s="72" t="s">
        <v>35</v>
      </c>
      <c r="E27" s="72" t="s">
        <v>35</v>
      </c>
      <c r="F27" s="72" t="s">
        <v>495</v>
      </c>
      <c r="G27" s="72" t="s">
        <v>496</v>
      </c>
      <c r="H27" s="72" t="s">
        <v>497</v>
      </c>
      <c r="I27" s="72" t="s">
        <v>475</v>
      </c>
      <c r="J27" s="72"/>
      <c r="K27" s="75">
        <v>3740000</v>
      </c>
      <c r="L27" s="75">
        <v>3500000</v>
      </c>
      <c r="M27" s="75">
        <f>+K27-L27</f>
        <v>240000</v>
      </c>
      <c r="N27" s="75"/>
      <c r="O27" s="75"/>
      <c r="P27" s="75"/>
      <c r="Q27" s="75"/>
      <c r="R27" s="75"/>
      <c r="S27" s="75">
        <v>100000</v>
      </c>
      <c r="T27" s="75"/>
      <c r="U27" s="75"/>
      <c r="V27" s="76"/>
      <c r="W27" s="55"/>
      <c r="X27" s="55"/>
      <c r="Y27" s="55"/>
      <c r="Z27" s="55"/>
      <c r="AA27" s="81"/>
      <c r="AB27" s="82"/>
      <c r="AC27" s="82"/>
      <c r="AD27" s="82"/>
      <c r="AE27" s="82"/>
      <c r="AF27" s="82"/>
    </row>
    <row r="28" spans="1:32" ht="36.75" customHeight="1">
      <c r="A28" s="65" t="s">
        <v>498</v>
      </c>
      <c r="B28" s="66" t="s">
        <v>499</v>
      </c>
      <c r="C28" s="67"/>
      <c r="D28" s="67"/>
      <c r="E28" s="67"/>
      <c r="F28" s="67"/>
      <c r="G28" s="67"/>
      <c r="H28" s="67"/>
      <c r="I28" s="67"/>
      <c r="J28" s="67"/>
      <c r="K28" s="68" t="str">
        <f>K29</f>
        <v>220.000</v>
      </c>
      <c r="L28" s="68">
        <f t="shared" ref="L28:U28" si="3">L29</f>
        <v>200000</v>
      </c>
      <c r="M28" s="68" t="str">
        <f t="shared" si="3"/>
        <v>20.000</v>
      </c>
      <c r="N28" s="68">
        <f t="shared" si="3"/>
        <v>0</v>
      </c>
      <c r="O28" s="68">
        <f t="shared" si="3"/>
        <v>0</v>
      </c>
      <c r="P28" s="68">
        <f t="shared" si="3"/>
        <v>0</v>
      </c>
      <c r="Q28" s="68" t="str">
        <f t="shared" si="3"/>
        <v>220.000</v>
      </c>
      <c r="R28" s="68" t="str">
        <f t="shared" si="3"/>
        <v>200.000</v>
      </c>
      <c r="S28" s="68" t="str">
        <f t="shared" si="3"/>
        <v>20.000</v>
      </c>
      <c r="T28" s="68">
        <f t="shared" si="3"/>
        <v>200</v>
      </c>
      <c r="U28" s="68">
        <f t="shared" si="3"/>
        <v>0</v>
      </c>
      <c r="V28" s="69"/>
      <c r="W28" s="55"/>
      <c r="X28" s="55"/>
      <c r="Y28" s="55"/>
      <c r="Z28" s="55"/>
      <c r="AA28" s="47"/>
      <c r="AB28" s="46"/>
      <c r="AC28" s="46"/>
      <c r="AD28" s="46"/>
      <c r="AE28" s="46"/>
      <c r="AF28" s="46"/>
    </row>
    <row r="29" spans="1:32" s="83" customFormat="1" ht="69.75" customHeight="1">
      <c r="A29" s="70">
        <f>MAX(A$14:$A28)+1</f>
        <v>15</v>
      </c>
      <c r="B29" s="71" t="s">
        <v>500</v>
      </c>
      <c r="C29" s="73" t="s">
        <v>501</v>
      </c>
      <c r="D29" s="72" t="s">
        <v>47</v>
      </c>
      <c r="E29" s="72" t="s">
        <v>47</v>
      </c>
      <c r="F29" s="72" t="s">
        <v>323</v>
      </c>
      <c r="G29" s="72" t="s">
        <v>502</v>
      </c>
      <c r="H29" s="72" t="s">
        <v>503</v>
      </c>
      <c r="I29" s="72" t="s">
        <v>504</v>
      </c>
      <c r="J29" s="72"/>
      <c r="K29" s="75" t="s">
        <v>505</v>
      </c>
      <c r="L29" s="75">
        <v>200000</v>
      </c>
      <c r="M29" s="75" t="s">
        <v>506</v>
      </c>
      <c r="N29" s="75"/>
      <c r="O29" s="75"/>
      <c r="P29" s="75"/>
      <c r="Q29" s="75" t="s">
        <v>505</v>
      </c>
      <c r="R29" s="75" t="s">
        <v>507</v>
      </c>
      <c r="S29" s="75" t="s">
        <v>506</v>
      </c>
      <c r="T29" s="75">
        <v>200</v>
      </c>
      <c r="U29" s="75"/>
      <c r="V29" s="76" t="s">
        <v>508</v>
      </c>
      <c r="W29" s="55"/>
      <c r="X29" s="55"/>
      <c r="Y29" s="55"/>
      <c r="Z29" s="55"/>
      <c r="AA29" s="81"/>
      <c r="AB29" s="82"/>
      <c r="AC29" s="82"/>
      <c r="AD29" s="82"/>
      <c r="AE29" s="82"/>
      <c r="AF29" s="82"/>
    </row>
    <row r="30" spans="1:32" ht="21" customHeight="1">
      <c r="A30" s="84" t="s">
        <v>509</v>
      </c>
      <c r="B30" s="66" t="s">
        <v>510</v>
      </c>
      <c r="C30" s="67"/>
      <c r="D30" s="67"/>
      <c r="E30" s="67"/>
      <c r="F30" s="67"/>
      <c r="G30" s="67"/>
      <c r="H30" s="67"/>
      <c r="I30" s="67"/>
      <c r="J30" s="67"/>
      <c r="K30" s="68">
        <f>SUM(K31:K33)</f>
        <v>1574000</v>
      </c>
      <c r="L30" s="68">
        <f t="shared" ref="L30:T30" si="4">SUM(L31:L33)</f>
        <v>1269000</v>
      </c>
      <c r="M30" s="68">
        <f t="shared" si="4"/>
        <v>305000</v>
      </c>
      <c r="N30" s="68">
        <f t="shared" si="4"/>
        <v>0</v>
      </c>
      <c r="O30" s="68">
        <f t="shared" si="4"/>
        <v>0</v>
      </c>
      <c r="P30" s="68">
        <f t="shared" si="4"/>
        <v>0</v>
      </c>
      <c r="Q30" s="68">
        <f t="shared" si="4"/>
        <v>0</v>
      </c>
      <c r="R30" s="68">
        <f t="shared" si="4"/>
        <v>0</v>
      </c>
      <c r="S30" s="68">
        <f t="shared" si="4"/>
        <v>260000</v>
      </c>
      <c r="T30" s="68">
        <f t="shared" si="4"/>
        <v>0</v>
      </c>
      <c r="U30" s="68">
        <f>SUM(U31:U33)</f>
        <v>0</v>
      </c>
      <c r="V30" s="69"/>
      <c r="W30" s="55"/>
      <c r="X30" s="55"/>
      <c r="Y30" s="55"/>
      <c r="Z30" s="55"/>
      <c r="AA30" s="47"/>
      <c r="AB30" s="46"/>
      <c r="AC30" s="46"/>
      <c r="AD30" s="46"/>
      <c r="AE30" s="46"/>
      <c r="AF30" s="46"/>
    </row>
    <row r="31" spans="1:32" s="83" customFormat="1" ht="40.200000000000003" customHeight="1">
      <c r="A31" s="70">
        <f>MAX(A$14:$A30)+1</f>
        <v>16</v>
      </c>
      <c r="B31" s="71" t="s">
        <v>511</v>
      </c>
      <c r="C31" s="73" t="s">
        <v>512</v>
      </c>
      <c r="D31" s="72" t="s">
        <v>47</v>
      </c>
      <c r="E31" s="72" t="s">
        <v>47</v>
      </c>
      <c r="F31" s="72" t="s">
        <v>325</v>
      </c>
      <c r="G31" s="72" t="s">
        <v>513</v>
      </c>
      <c r="H31" s="72" t="s">
        <v>514</v>
      </c>
      <c r="I31" s="72" t="s">
        <v>462</v>
      </c>
      <c r="J31" s="72"/>
      <c r="K31" s="75">
        <v>150000</v>
      </c>
      <c r="L31" s="75">
        <v>120000</v>
      </c>
      <c r="M31" s="75">
        <v>30000</v>
      </c>
      <c r="N31" s="75"/>
      <c r="O31" s="75"/>
      <c r="P31" s="75"/>
      <c r="Q31" s="75"/>
      <c r="R31" s="75"/>
      <c r="S31" s="75">
        <v>15000</v>
      </c>
      <c r="T31" s="75"/>
      <c r="U31" s="75"/>
      <c r="V31" s="76"/>
      <c r="W31" s="55"/>
      <c r="X31" s="55"/>
      <c r="Y31" s="55"/>
      <c r="Z31" s="55"/>
      <c r="AA31" s="81"/>
      <c r="AB31" s="82"/>
      <c r="AC31" s="82"/>
      <c r="AD31" s="82"/>
      <c r="AE31" s="82"/>
      <c r="AF31" s="82"/>
    </row>
    <row r="32" spans="1:32" s="83" customFormat="1" ht="66" customHeight="1">
      <c r="A32" s="70">
        <f>MAX(A$14:$A31)+1</f>
        <v>17</v>
      </c>
      <c r="B32" s="71" t="s">
        <v>515</v>
      </c>
      <c r="C32" s="73" t="s">
        <v>512</v>
      </c>
      <c r="D32" s="72" t="s">
        <v>47</v>
      </c>
      <c r="E32" s="72" t="s">
        <v>47</v>
      </c>
      <c r="F32" s="72" t="s">
        <v>325</v>
      </c>
      <c r="G32" s="72" t="s">
        <v>516</v>
      </c>
      <c r="H32" s="72" t="s">
        <v>517</v>
      </c>
      <c r="I32" s="72" t="s">
        <v>462</v>
      </c>
      <c r="J32" s="72"/>
      <c r="K32" s="75">
        <v>300000</v>
      </c>
      <c r="L32" s="75">
        <v>250000</v>
      </c>
      <c r="M32" s="75">
        <v>50000</v>
      </c>
      <c r="N32" s="75"/>
      <c r="O32" s="75"/>
      <c r="P32" s="75"/>
      <c r="Q32" s="75"/>
      <c r="R32" s="75"/>
      <c r="S32" s="75">
        <v>20000</v>
      </c>
      <c r="T32" s="75"/>
      <c r="U32" s="75"/>
      <c r="V32" s="76"/>
      <c r="W32" s="55"/>
      <c r="X32" s="55"/>
      <c r="Y32" s="55"/>
      <c r="Z32" s="55"/>
      <c r="AA32" s="81"/>
      <c r="AB32" s="82"/>
      <c r="AC32" s="82"/>
      <c r="AD32" s="82"/>
      <c r="AE32" s="82"/>
      <c r="AF32" s="82"/>
    </row>
    <row r="33" spans="1:32" s="83" customFormat="1" ht="40.200000000000003" customHeight="1">
      <c r="A33" s="70">
        <f>MAX(A$14:$A32)+1</f>
        <v>18</v>
      </c>
      <c r="B33" s="71" t="s">
        <v>518</v>
      </c>
      <c r="C33" s="73" t="s">
        <v>259</v>
      </c>
      <c r="D33" s="72" t="s">
        <v>47</v>
      </c>
      <c r="E33" s="72" t="s">
        <v>47</v>
      </c>
      <c r="F33" s="72" t="s">
        <v>519</v>
      </c>
      <c r="G33" s="72" t="s">
        <v>520</v>
      </c>
      <c r="H33" s="72"/>
      <c r="I33" s="72" t="s">
        <v>462</v>
      </c>
      <c r="J33" s="72"/>
      <c r="K33" s="75">
        <v>1124000</v>
      </c>
      <c r="L33" s="75">
        <v>899000</v>
      </c>
      <c r="M33" s="75">
        <v>225000</v>
      </c>
      <c r="N33" s="75"/>
      <c r="O33" s="75"/>
      <c r="P33" s="75"/>
      <c r="Q33" s="75"/>
      <c r="R33" s="75"/>
      <c r="S33" s="75">
        <v>225000</v>
      </c>
      <c r="T33" s="75"/>
      <c r="U33" s="75"/>
      <c r="V33" s="76"/>
      <c r="W33" s="55"/>
      <c r="X33" s="55"/>
      <c r="Y33" s="55"/>
      <c r="Z33" s="55"/>
      <c r="AA33" s="81"/>
      <c r="AB33" s="82"/>
      <c r="AC33" s="82"/>
      <c r="AD33" s="82"/>
      <c r="AE33" s="82"/>
      <c r="AF33" s="82"/>
    </row>
    <row r="34" spans="1:32" ht="22.65" customHeight="1">
      <c r="A34" s="84" t="s">
        <v>521</v>
      </c>
      <c r="B34" s="66" t="s">
        <v>522</v>
      </c>
      <c r="C34" s="67"/>
      <c r="D34" s="67"/>
      <c r="E34" s="67"/>
      <c r="F34" s="67"/>
      <c r="G34" s="67"/>
      <c r="H34" s="67"/>
      <c r="I34" s="67"/>
      <c r="J34" s="67"/>
      <c r="K34" s="68">
        <f>K35+K36</f>
        <v>246971</v>
      </c>
      <c r="L34" s="68">
        <f t="shared" ref="L34:T34" si="5">L35+L36</f>
        <v>221337</v>
      </c>
      <c r="M34" s="68">
        <f t="shared" si="5"/>
        <v>25634</v>
      </c>
      <c r="N34" s="68">
        <f t="shared" si="5"/>
        <v>16971</v>
      </c>
      <c r="O34" s="68">
        <f t="shared" si="5"/>
        <v>16971</v>
      </c>
      <c r="P34" s="68">
        <f t="shared" si="5"/>
        <v>16971</v>
      </c>
      <c r="Q34" s="68">
        <f t="shared" si="5"/>
        <v>16971</v>
      </c>
      <c r="R34" s="68">
        <f t="shared" si="5"/>
        <v>16971</v>
      </c>
      <c r="S34" s="68">
        <f t="shared" si="5"/>
        <v>25634</v>
      </c>
      <c r="T34" s="68">
        <f t="shared" si="5"/>
        <v>5195</v>
      </c>
      <c r="U34" s="68">
        <f>U35+U36</f>
        <v>5195</v>
      </c>
      <c r="V34" s="69"/>
      <c r="W34" s="55"/>
      <c r="X34" s="55"/>
      <c r="Y34" s="55"/>
      <c r="Z34" s="55"/>
      <c r="AA34" s="47"/>
      <c r="AB34" s="46"/>
      <c r="AC34" s="46"/>
      <c r="AD34" s="46"/>
      <c r="AE34" s="46"/>
      <c r="AF34" s="46"/>
    </row>
    <row r="35" spans="1:32" s="83" customFormat="1" ht="40.200000000000003" customHeight="1">
      <c r="A35" s="70">
        <f>MAX(A$14:$A34)+1</f>
        <v>19</v>
      </c>
      <c r="B35" s="71" t="s">
        <v>523</v>
      </c>
      <c r="C35" s="73" t="s">
        <v>524</v>
      </c>
      <c r="D35" s="72" t="s">
        <v>47</v>
      </c>
      <c r="E35" s="72" t="s">
        <v>47</v>
      </c>
      <c r="F35" s="72" t="s">
        <v>324</v>
      </c>
      <c r="G35" s="72"/>
      <c r="H35" s="72" t="s">
        <v>525</v>
      </c>
      <c r="I35" s="72" t="s">
        <v>462</v>
      </c>
      <c r="J35" s="72"/>
      <c r="K35" s="75">
        <v>139271</v>
      </c>
      <c r="L35" s="75">
        <v>122300</v>
      </c>
      <c r="M35" s="75">
        <v>16971</v>
      </c>
      <c r="N35" s="75">
        <v>16971</v>
      </c>
      <c r="O35" s="75">
        <v>16971</v>
      </c>
      <c r="P35" s="75">
        <v>16971</v>
      </c>
      <c r="Q35" s="75">
        <v>16971</v>
      </c>
      <c r="R35" s="75">
        <v>16971</v>
      </c>
      <c r="S35" s="75">
        <v>16971</v>
      </c>
      <c r="T35" s="75">
        <v>4000</v>
      </c>
      <c r="U35" s="75">
        <v>4000</v>
      </c>
      <c r="V35" s="76"/>
      <c r="W35" s="55"/>
      <c r="X35" s="55"/>
      <c r="Y35" s="55"/>
      <c r="Z35" s="55"/>
      <c r="AA35" s="81"/>
      <c r="AB35" s="82"/>
      <c r="AC35" s="82"/>
      <c r="AD35" s="82"/>
      <c r="AE35" s="82"/>
      <c r="AF35" s="82"/>
    </row>
    <row r="36" spans="1:32" s="83" customFormat="1" ht="40.200000000000003" customHeight="1">
      <c r="A36" s="70">
        <f>MAX(A$14:$A35)+1</f>
        <v>20</v>
      </c>
      <c r="B36" s="71" t="s">
        <v>526</v>
      </c>
      <c r="C36" s="73" t="s">
        <v>527</v>
      </c>
      <c r="D36" s="72" t="s">
        <v>47</v>
      </c>
      <c r="E36" s="72" t="s">
        <v>47</v>
      </c>
      <c r="F36" s="72" t="s">
        <v>528</v>
      </c>
      <c r="G36" s="72" t="s">
        <v>529</v>
      </c>
      <c r="H36" s="72" t="s">
        <v>530</v>
      </c>
      <c r="I36" s="72" t="s">
        <v>416</v>
      </c>
      <c r="J36" s="72"/>
      <c r="K36" s="75">
        <v>107700</v>
      </c>
      <c r="L36" s="75">
        <v>99037</v>
      </c>
      <c r="M36" s="75">
        <v>8663</v>
      </c>
      <c r="N36" s="75"/>
      <c r="O36" s="75"/>
      <c r="P36" s="75"/>
      <c r="Q36" s="75"/>
      <c r="R36" s="75"/>
      <c r="S36" s="75">
        <v>8663</v>
      </c>
      <c r="T36" s="75">
        <v>1195</v>
      </c>
      <c r="U36" s="75">
        <v>1195</v>
      </c>
      <c r="V36" s="76"/>
      <c r="W36" s="55"/>
      <c r="X36" s="55"/>
      <c r="Y36" s="55"/>
      <c r="Z36" s="55"/>
      <c r="AA36" s="81"/>
      <c r="AB36" s="82"/>
      <c r="AC36" s="82"/>
      <c r="AD36" s="82"/>
      <c r="AE36" s="82"/>
      <c r="AF36" s="82"/>
    </row>
    <row r="37" spans="1:32" ht="22.65" customHeight="1">
      <c r="A37" s="84" t="s">
        <v>531</v>
      </c>
      <c r="B37" s="66" t="s">
        <v>532</v>
      </c>
      <c r="C37" s="67"/>
      <c r="D37" s="67"/>
      <c r="E37" s="67"/>
      <c r="F37" s="67"/>
      <c r="G37" s="67"/>
      <c r="H37" s="67"/>
      <c r="I37" s="67"/>
      <c r="J37" s="67"/>
      <c r="K37" s="68">
        <f>SUM(K38:K43)</f>
        <v>5002772</v>
      </c>
      <c r="L37" s="68">
        <f t="shared" ref="L37:T37" si="6">SUM(L38:L43)</f>
        <v>4284200</v>
      </c>
      <c r="M37" s="68">
        <f t="shared" si="6"/>
        <v>718572</v>
      </c>
      <c r="N37" s="68">
        <f t="shared" si="6"/>
        <v>0</v>
      </c>
      <c r="O37" s="68">
        <f t="shared" si="6"/>
        <v>0</v>
      </c>
      <c r="P37" s="68">
        <f t="shared" si="6"/>
        <v>400000</v>
      </c>
      <c r="Q37" s="68">
        <f t="shared" si="6"/>
        <v>350000</v>
      </c>
      <c r="R37" s="68">
        <f t="shared" si="6"/>
        <v>50000</v>
      </c>
      <c r="S37" s="68">
        <f t="shared" si="6"/>
        <v>716915</v>
      </c>
      <c r="T37" s="68">
        <f t="shared" si="6"/>
        <v>400</v>
      </c>
      <c r="U37" s="68">
        <f>SUM(U38:U43)</f>
        <v>400</v>
      </c>
      <c r="V37" s="69"/>
      <c r="W37" s="55"/>
      <c r="X37" s="55"/>
      <c r="Y37" s="55"/>
      <c r="Z37" s="55"/>
      <c r="AA37" s="47">
        <f>S37/K37</f>
        <v>0.14330355251048818</v>
      </c>
      <c r="AB37" s="46"/>
      <c r="AC37" s="46"/>
      <c r="AD37" s="46"/>
      <c r="AE37" s="46"/>
      <c r="AF37" s="46"/>
    </row>
    <row r="38" spans="1:32" s="92" customFormat="1" ht="40.200000000000003" customHeight="1">
      <c r="A38" s="70">
        <f>MAX(A$14:$A37)+1</f>
        <v>21</v>
      </c>
      <c r="B38" s="85" t="s">
        <v>533</v>
      </c>
      <c r="C38" s="86" t="s">
        <v>138</v>
      </c>
      <c r="D38" s="87" t="s">
        <v>47</v>
      </c>
      <c r="E38" s="87" t="s">
        <v>47</v>
      </c>
      <c r="F38" s="87" t="s">
        <v>331</v>
      </c>
      <c r="G38" s="87" t="s">
        <v>534</v>
      </c>
      <c r="H38" s="87" t="s">
        <v>535</v>
      </c>
      <c r="I38" s="87" t="s">
        <v>462</v>
      </c>
      <c r="J38" s="87"/>
      <c r="K38" s="88">
        <v>201657</v>
      </c>
      <c r="L38" s="88">
        <v>184200</v>
      </c>
      <c r="M38" s="88">
        <v>17457</v>
      </c>
      <c r="N38" s="88"/>
      <c r="O38" s="88"/>
      <c r="P38" s="88"/>
      <c r="Q38" s="88"/>
      <c r="R38" s="88"/>
      <c r="S38" s="88">
        <v>15800</v>
      </c>
      <c r="T38" s="88"/>
      <c r="U38" s="88"/>
      <c r="V38" s="89"/>
      <c r="W38" s="90"/>
      <c r="X38" s="90"/>
      <c r="Y38" s="90"/>
      <c r="Z38" s="90"/>
      <c r="AA38" s="91"/>
    </row>
    <row r="39" spans="1:32" s="92" customFormat="1" ht="40.200000000000003" customHeight="1">
      <c r="A39" s="70">
        <f>MAX(A$14:$A38)+1</f>
        <v>22</v>
      </c>
      <c r="B39" s="93" t="s">
        <v>536</v>
      </c>
      <c r="C39" s="94" t="s">
        <v>458</v>
      </c>
      <c r="D39" s="87" t="s">
        <v>47</v>
      </c>
      <c r="E39" s="94" t="s">
        <v>47</v>
      </c>
      <c r="F39" s="94" t="s">
        <v>332</v>
      </c>
      <c r="G39" s="94" t="s">
        <v>537</v>
      </c>
      <c r="H39" s="94" t="s">
        <v>538</v>
      </c>
      <c r="I39" s="94" t="s">
        <v>462</v>
      </c>
      <c r="J39" s="95"/>
      <c r="K39" s="96">
        <v>400000</v>
      </c>
      <c r="L39" s="96">
        <f>K39-M39</f>
        <v>350000</v>
      </c>
      <c r="M39" s="96">
        <v>50000</v>
      </c>
      <c r="N39" s="96">
        <v>0</v>
      </c>
      <c r="O39" s="96">
        <v>0</v>
      </c>
      <c r="P39" s="96">
        <v>400000</v>
      </c>
      <c r="Q39" s="96">
        <f>P39-R39</f>
        <v>350000</v>
      </c>
      <c r="R39" s="96">
        <v>50000</v>
      </c>
      <c r="S39" s="96">
        <v>50000</v>
      </c>
      <c r="T39" s="96">
        <v>200</v>
      </c>
      <c r="U39" s="96">
        <v>200</v>
      </c>
      <c r="V39" s="89"/>
      <c r="W39" s="90"/>
      <c r="X39" s="90"/>
      <c r="Y39" s="90"/>
      <c r="Z39" s="90"/>
      <c r="AA39" s="91"/>
    </row>
    <row r="40" spans="1:32" s="92" customFormat="1" ht="40.200000000000003" customHeight="1">
      <c r="A40" s="70">
        <f>MAX(A$14:$A39)+1</f>
        <v>23</v>
      </c>
      <c r="B40" s="95" t="s">
        <v>539</v>
      </c>
      <c r="C40" s="97" t="s">
        <v>138</v>
      </c>
      <c r="D40" s="98" t="s">
        <v>47</v>
      </c>
      <c r="E40" s="98" t="s">
        <v>47</v>
      </c>
      <c r="F40" s="94" t="s">
        <v>540</v>
      </c>
      <c r="G40" s="99" t="s">
        <v>541</v>
      </c>
      <c r="H40" s="94" t="s">
        <v>542</v>
      </c>
      <c r="I40" s="94" t="s">
        <v>462</v>
      </c>
      <c r="J40" s="100"/>
      <c r="K40" s="101">
        <v>350000</v>
      </c>
      <c r="L40" s="101">
        <v>300000</v>
      </c>
      <c r="M40" s="101">
        <v>50000</v>
      </c>
      <c r="N40" s="88"/>
      <c r="O40" s="88"/>
      <c r="P40" s="88"/>
      <c r="Q40" s="88"/>
      <c r="R40" s="88"/>
      <c r="S40" s="101">
        <v>50000</v>
      </c>
      <c r="T40" s="101">
        <v>200</v>
      </c>
      <c r="U40" s="101">
        <v>200</v>
      </c>
      <c r="V40" s="89"/>
      <c r="W40" s="90"/>
      <c r="X40" s="90"/>
      <c r="Y40" s="90"/>
      <c r="Z40" s="90"/>
      <c r="AA40" s="91"/>
    </row>
    <row r="41" spans="1:32" s="92" customFormat="1" ht="40.200000000000003" customHeight="1">
      <c r="A41" s="70">
        <f>MAX(A$14:$A40)+1</f>
        <v>24</v>
      </c>
      <c r="B41" s="95" t="s">
        <v>543</v>
      </c>
      <c r="C41" s="97" t="s">
        <v>138</v>
      </c>
      <c r="D41" s="98" t="s">
        <v>47</v>
      </c>
      <c r="E41" s="98" t="s">
        <v>47</v>
      </c>
      <c r="F41" s="94" t="s">
        <v>544</v>
      </c>
      <c r="G41" s="98" t="s">
        <v>545</v>
      </c>
      <c r="H41" s="95" t="s">
        <v>546</v>
      </c>
      <c r="I41" s="94" t="s">
        <v>547</v>
      </c>
      <c r="J41" s="100"/>
      <c r="K41" s="101">
        <v>2900000</v>
      </c>
      <c r="L41" s="101">
        <v>2600000</v>
      </c>
      <c r="M41" s="101">
        <v>300000</v>
      </c>
      <c r="N41" s="88"/>
      <c r="O41" s="88"/>
      <c r="P41" s="88"/>
      <c r="Q41" s="88"/>
      <c r="R41" s="88"/>
      <c r="S41" s="101">
        <v>300000</v>
      </c>
      <c r="T41" s="101"/>
      <c r="U41" s="101"/>
      <c r="V41" s="89"/>
      <c r="W41" s="90"/>
      <c r="X41" s="90"/>
      <c r="Y41" s="90"/>
      <c r="Z41" s="90"/>
      <c r="AA41" s="91"/>
    </row>
    <row r="42" spans="1:32" s="92" customFormat="1" ht="40.200000000000003" customHeight="1">
      <c r="A42" s="70">
        <f>MAX(A$14:$A41)+1</f>
        <v>25</v>
      </c>
      <c r="B42" s="95" t="s">
        <v>548</v>
      </c>
      <c r="C42" s="97" t="s">
        <v>138</v>
      </c>
      <c r="D42" s="98" t="s">
        <v>47</v>
      </c>
      <c r="E42" s="98" t="s">
        <v>47</v>
      </c>
      <c r="F42" s="94" t="s">
        <v>549</v>
      </c>
      <c r="G42" s="98" t="s">
        <v>550</v>
      </c>
      <c r="H42" s="94" t="s">
        <v>551</v>
      </c>
      <c r="I42" s="94" t="s">
        <v>547</v>
      </c>
      <c r="J42" s="102"/>
      <c r="K42" s="101">
        <v>500000</v>
      </c>
      <c r="L42" s="101">
        <v>450000</v>
      </c>
      <c r="M42" s="101">
        <v>50000</v>
      </c>
      <c r="N42" s="88"/>
      <c r="O42" s="88"/>
      <c r="P42" s="88"/>
      <c r="Q42" s="88"/>
      <c r="R42" s="88"/>
      <c r="S42" s="101">
        <v>50000</v>
      </c>
      <c r="T42" s="101"/>
      <c r="U42" s="101"/>
      <c r="V42" s="89"/>
      <c r="W42" s="90"/>
      <c r="X42" s="90"/>
      <c r="Y42" s="90"/>
      <c r="Z42" s="90"/>
      <c r="AA42" s="91"/>
    </row>
    <row r="43" spans="1:32" s="92" customFormat="1" ht="40.200000000000003" customHeight="1">
      <c r="A43" s="70">
        <f>MAX(A$14:$A42)+1</f>
        <v>26</v>
      </c>
      <c r="B43" s="95" t="s">
        <v>552</v>
      </c>
      <c r="C43" s="97" t="s">
        <v>138</v>
      </c>
      <c r="D43" s="98" t="s">
        <v>47</v>
      </c>
      <c r="E43" s="98" t="s">
        <v>47</v>
      </c>
      <c r="F43" s="87" t="s">
        <v>553</v>
      </c>
      <c r="G43" s="103"/>
      <c r="H43" s="87" t="s">
        <v>554</v>
      </c>
      <c r="I43" s="87" t="s">
        <v>416</v>
      </c>
      <c r="J43" s="104"/>
      <c r="K43" s="105">
        <v>651115</v>
      </c>
      <c r="L43" s="105">
        <v>400000</v>
      </c>
      <c r="M43" s="106">
        <v>251115</v>
      </c>
      <c r="N43" s="88"/>
      <c r="O43" s="88"/>
      <c r="P43" s="88"/>
      <c r="Q43" s="88"/>
      <c r="R43" s="88"/>
      <c r="S43" s="106">
        <v>251115</v>
      </c>
      <c r="T43" s="105"/>
      <c r="U43" s="105"/>
      <c r="V43" s="89"/>
      <c r="W43" s="90"/>
      <c r="X43" s="90"/>
      <c r="Y43" s="90"/>
      <c r="Z43" s="90"/>
      <c r="AA43" s="91"/>
    </row>
    <row r="44" spans="1:32" ht="22.65" customHeight="1">
      <c r="A44" s="84" t="s">
        <v>555</v>
      </c>
      <c r="B44" s="66" t="s">
        <v>556</v>
      </c>
      <c r="C44" s="67"/>
      <c r="D44" s="67"/>
      <c r="E44" s="67"/>
      <c r="F44" s="67"/>
      <c r="G44" s="67"/>
      <c r="H44" s="67"/>
      <c r="I44" s="67"/>
      <c r="J44" s="67"/>
      <c r="K44" s="68">
        <f>K45</f>
        <v>100000</v>
      </c>
      <c r="L44" s="68">
        <f t="shared" ref="L44:V44" si="7">L45</f>
        <v>90000</v>
      </c>
      <c r="M44" s="68">
        <f t="shared" si="7"/>
        <v>10000</v>
      </c>
      <c r="N44" s="68">
        <f t="shared" si="7"/>
        <v>0</v>
      </c>
      <c r="O44" s="68">
        <f t="shared" si="7"/>
        <v>0</v>
      </c>
      <c r="P44" s="68">
        <f t="shared" si="7"/>
        <v>0</v>
      </c>
      <c r="Q44" s="68">
        <f t="shared" si="7"/>
        <v>0</v>
      </c>
      <c r="R44" s="68">
        <f t="shared" si="7"/>
        <v>0</v>
      </c>
      <c r="S44" s="68">
        <f t="shared" si="7"/>
        <v>10000</v>
      </c>
      <c r="T44" s="68">
        <f t="shared" si="7"/>
        <v>0</v>
      </c>
      <c r="U44" s="68">
        <f t="shared" si="7"/>
        <v>0</v>
      </c>
      <c r="V44" s="68">
        <f t="shared" si="7"/>
        <v>0</v>
      </c>
      <c r="W44" s="55"/>
      <c r="X44" s="55"/>
      <c r="Y44" s="55"/>
      <c r="Z44" s="55"/>
      <c r="AA44" s="47"/>
      <c r="AB44" s="46"/>
      <c r="AC44" s="46"/>
      <c r="AD44" s="46"/>
      <c r="AE44" s="46"/>
      <c r="AF44" s="46"/>
    </row>
    <row r="45" spans="1:32" ht="40.200000000000003" customHeight="1">
      <c r="A45" s="70">
        <f>MAX(A$14:$A44)+1</f>
        <v>27</v>
      </c>
      <c r="B45" s="107" t="s">
        <v>557</v>
      </c>
      <c r="C45" s="72" t="s">
        <v>558</v>
      </c>
      <c r="D45" s="72" t="s">
        <v>47</v>
      </c>
      <c r="E45" s="72" t="s">
        <v>47</v>
      </c>
      <c r="F45" s="72" t="s">
        <v>311</v>
      </c>
      <c r="G45" s="72" t="s">
        <v>559</v>
      </c>
      <c r="H45" s="72" t="s">
        <v>560</v>
      </c>
      <c r="I45" s="72" t="s">
        <v>416</v>
      </c>
      <c r="J45" s="72"/>
      <c r="K45" s="108">
        <f>L45+M45</f>
        <v>100000</v>
      </c>
      <c r="L45" s="108">
        <v>90000</v>
      </c>
      <c r="M45" s="108">
        <v>10000</v>
      </c>
      <c r="N45" s="109"/>
      <c r="O45" s="109"/>
      <c r="P45" s="109"/>
      <c r="Q45" s="109"/>
      <c r="R45" s="109"/>
      <c r="S45" s="108">
        <v>10000</v>
      </c>
      <c r="T45" s="108"/>
      <c r="U45" s="108"/>
      <c r="V45" s="76"/>
      <c r="W45" s="55"/>
      <c r="X45" s="55"/>
      <c r="Y45" s="55"/>
      <c r="Z45" s="55"/>
      <c r="AA45" s="47"/>
      <c r="AB45" s="46"/>
      <c r="AC45" s="46"/>
      <c r="AD45" s="46"/>
      <c r="AE45" s="46"/>
      <c r="AF45" s="46"/>
    </row>
    <row r="46" spans="1:32" ht="22.65" customHeight="1">
      <c r="A46" s="84" t="s">
        <v>561</v>
      </c>
      <c r="B46" s="66" t="s">
        <v>562</v>
      </c>
      <c r="C46" s="67"/>
      <c r="D46" s="67"/>
      <c r="E46" s="67"/>
      <c r="F46" s="67"/>
      <c r="G46" s="67"/>
      <c r="H46" s="67"/>
      <c r="I46" s="67"/>
      <c r="J46" s="67"/>
      <c r="K46" s="68">
        <f>K47</f>
        <v>110000</v>
      </c>
      <c r="L46" s="68">
        <f t="shared" ref="L46:U46" si="8">L47</f>
        <v>90000</v>
      </c>
      <c r="M46" s="68">
        <f t="shared" si="8"/>
        <v>20000</v>
      </c>
      <c r="N46" s="68">
        <f t="shared" si="8"/>
        <v>0</v>
      </c>
      <c r="O46" s="68">
        <f t="shared" si="8"/>
        <v>0</v>
      </c>
      <c r="P46" s="68">
        <f t="shared" si="8"/>
        <v>0</v>
      </c>
      <c r="Q46" s="68">
        <f t="shared" si="8"/>
        <v>0</v>
      </c>
      <c r="R46" s="68">
        <f t="shared" si="8"/>
        <v>0</v>
      </c>
      <c r="S46" s="68">
        <f t="shared" si="8"/>
        <v>20000</v>
      </c>
      <c r="T46" s="68">
        <f t="shared" si="8"/>
        <v>20000</v>
      </c>
      <c r="U46" s="68">
        <f t="shared" si="8"/>
        <v>20000</v>
      </c>
      <c r="V46" s="69"/>
      <c r="W46" s="55"/>
      <c r="X46" s="55"/>
      <c r="Y46" s="55"/>
      <c r="Z46" s="55"/>
      <c r="AA46" s="47"/>
      <c r="AB46" s="46"/>
      <c r="AC46" s="46"/>
      <c r="AD46" s="46"/>
      <c r="AE46" s="46"/>
      <c r="AF46" s="46"/>
    </row>
    <row r="47" spans="1:32" s="115" customFormat="1" ht="40.200000000000003" customHeight="1">
      <c r="A47" s="70">
        <f>MAX(A$14:$A46)+1</f>
        <v>28</v>
      </c>
      <c r="B47" s="71" t="s">
        <v>563</v>
      </c>
      <c r="C47" s="72" t="s">
        <v>564</v>
      </c>
      <c r="D47" s="72" t="s">
        <v>47</v>
      </c>
      <c r="E47" s="72" t="s">
        <v>47</v>
      </c>
      <c r="F47" s="72" t="s">
        <v>565</v>
      </c>
      <c r="G47" s="110" t="s">
        <v>566</v>
      </c>
      <c r="H47" s="73" t="s">
        <v>567</v>
      </c>
      <c r="I47" s="72" t="s">
        <v>568</v>
      </c>
      <c r="J47" s="72"/>
      <c r="K47" s="111">
        <v>110000</v>
      </c>
      <c r="L47" s="111">
        <v>90000</v>
      </c>
      <c r="M47" s="111">
        <v>20000</v>
      </c>
      <c r="N47" s="111"/>
      <c r="O47" s="111"/>
      <c r="P47" s="111"/>
      <c r="Q47" s="111"/>
      <c r="R47" s="111"/>
      <c r="S47" s="111">
        <v>20000</v>
      </c>
      <c r="T47" s="111">
        <v>20000</v>
      </c>
      <c r="U47" s="111">
        <v>20000</v>
      </c>
      <c r="V47" s="112"/>
      <c r="W47" s="55"/>
      <c r="X47" s="55"/>
      <c r="Y47" s="55"/>
      <c r="Z47" s="55"/>
      <c r="AA47" s="113"/>
      <c r="AB47" s="113"/>
      <c r="AC47" s="114"/>
      <c r="AD47" s="114"/>
      <c r="AE47" s="114"/>
      <c r="AF47" s="114"/>
    </row>
    <row r="48" spans="1:32" ht="22.65" customHeight="1">
      <c r="A48" s="84" t="s">
        <v>569</v>
      </c>
      <c r="B48" s="66" t="s">
        <v>570</v>
      </c>
      <c r="C48" s="67"/>
      <c r="D48" s="67"/>
      <c r="E48" s="67"/>
      <c r="F48" s="67"/>
      <c r="G48" s="67"/>
      <c r="H48" s="67"/>
      <c r="I48" s="67"/>
      <c r="J48" s="67"/>
      <c r="K48" s="68">
        <f>K49</f>
        <v>133642.25099999999</v>
      </c>
      <c r="L48" s="68">
        <f t="shared" ref="L48:V48" si="9">L49</f>
        <v>80000</v>
      </c>
      <c r="M48" s="68">
        <f t="shared" si="9"/>
        <v>53642.250999999997</v>
      </c>
      <c r="N48" s="68">
        <f t="shared" si="9"/>
        <v>0</v>
      </c>
      <c r="O48" s="68">
        <f t="shared" si="9"/>
        <v>0</v>
      </c>
      <c r="P48" s="68">
        <f t="shared" si="9"/>
        <v>0</v>
      </c>
      <c r="Q48" s="68">
        <f t="shared" si="9"/>
        <v>0</v>
      </c>
      <c r="R48" s="68">
        <f t="shared" si="9"/>
        <v>0</v>
      </c>
      <c r="S48" s="68">
        <f t="shared" si="9"/>
        <v>53642.250999999997</v>
      </c>
      <c r="T48" s="68">
        <f t="shared" si="9"/>
        <v>0</v>
      </c>
      <c r="U48" s="68">
        <f t="shared" si="9"/>
        <v>0</v>
      </c>
      <c r="V48" s="68">
        <f t="shared" si="9"/>
        <v>0</v>
      </c>
      <c r="W48" s="55"/>
      <c r="X48" s="55"/>
      <c r="Y48" s="55"/>
      <c r="Z48" s="55"/>
      <c r="AA48" s="47"/>
      <c r="AB48" s="46"/>
      <c r="AC48" s="46"/>
      <c r="AD48" s="46"/>
      <c r="AE48" s="46"/>
      <c r="AF48" s="46"/>
    </row>
    <row r="49" spans="1:32" s="115" customFormat="1" ht="39.75" customHeight="1">
      <c r="A49" s="70">
        <f>MAX(A$14:$A48)+1</f>
        <v>29</v>
      </c>
      <c r="B49" s="71" t="s">
        <v>571</v>
      </c>
      <c r="C49" s="72" t="s">
        <v>572</v>
      </c>
      <c r="D49" s="72" t="s">
        <v>47</v>
      </c>
      <c r="E49" s="72" t="s">
        <v>47</v>
      </c>
      <c r="F49" s="72" t="s">
        <v>573</v>
      </c>
      <c r="G49" s="110"/>
      <c r="H49" s="73" t="s">
        <v>574</v>
      </c>
      <c r="I49" s="72" t="s">
        <v>575</v>
      </c>
      <c r="J49" s="72"/>
      <c r="K49" s="111">
        <f>M49+L49</f>
        <v>133642.25099999999</v>
      </c>
      <c r="L49" s="111">
        <v>80000</v>
      </c>
      <c r="M49" s="111">
        <v>53642.250999999997</v>
      </c>
      <c r="N49" s="111"/>
      <c r="O49" s="111"/>
      <c r="P49" s="111"/>
      <c r="Q49" s="111"/>
      <c r="R49" s="111"/>
      <c r="S49" s="111">
        <v>53642.250999999997</v>
      </c>
      <c r="T49" s="111"/>
      <c r="U49" s="111"/>
      <c r="V49" s="112"/>
      <c r="W49" s="55"/>
      <c r="X49" s="55"/>
      <c r="Y49" s="55"/>
      <c r="Z49" s="55"/>
      <c r="AA49" s="113"/>
      <c r="AB49" s="113"/>
      <c r="AC49" s="114"/>
      <c r="AD49" s="114"/>
      <c r="AE49" s="114"/>
      <c r="AF49" s="114"/>
    </row>
    <row r="50" spans="1:32" ht="27.75" customHeight="1">
      <c r="A50" s="60" t="s">
        <v>47</v>
      </c>
      <c r="B50" s="61" t="s">
        <v>576</v>
      </c>
      <c r="C50" s="62"/>
      <c r="D50" s="62"/>
      <c r="E50" s="62"/>
      <c r="F50" s="62"/>
      <c r="G50" s="62"/>
      <c r="H50" s="62"/>
      <c r="I50" s="62"/>
      <c r="J50" s="62"/>
      <c r="K50" s="63">
        <f t="shared" ref="K50:T50" si="10">K51+K154+K214+K235+K333+K357+K369+K378+K397+K407+K424+K450+K454+K456</f>
        <v>25520931</v>
      </c>
      <c r="L50" s="63">
        <f t="shared" si="10"/>
        <v>404849</v>
      </c>
      <c r="M50" s="63">
        <f t="shared" si="10"/>
        <v>25116082</v>
      </c>
      <c r="N50" s="63">
        <f t="shared" si="10"/>
        <v>128355</v>
      </c>
      <c r="O50" s="63">
        <f t="shared" si="10"/>
        <v>115000</v>
      </c>
      <c r="P50" s="63">
        <f t="shared" si="10"/>
        <v>185335</v>
      </c>
      <c r="Q50" s="63">
        <f t="shared" si="10"/>
        <v>3029282</v>
      </c>
      <c r="R50" s="63">
        <f t="shared" si="10"/>
        <v>532849</v>
      </c>
      <c r="S50" s="63">
        <f t="shared" si="10"/>
        <v>20351825.370000001</v>
      </c>
      <c r="T50" s="63">
        <f t="shared" si="10"/>
        <v>1905325.2</v>
      </c>
      <c r="U50" s="63">
        <f>U51+U154+U214+U235+U333+U357+U369+U378+U397+U407+U424+U450+U454+U456</f>
        <v>1408015.2</v>
      </c>
      <c r="V50" s="64"/>
      <c r="W50" s="55"/>
      <c r="X50" s="55"/>
      <c r="Y50" s="55"/>
      <c r="Z50" s="55"/>
      <c r="AA50" s="47"/>
      <c r="AB50" s="46"/>
      <c r="AC50" s="46"/>
      <c r="AD50" s="46"/>
      <c r="AE50" s="46"/>
      <c r="AF50" s="46"/>
    </row>
    <row r="51" spans="1:32" s="121" customFormat="1" ht="26.4" customHeight="1">
      <c r="A51" s="65" t="s">
        <v>441</v>
      </c>
      <c r="B51" s="66" t="s">
        <v>442</v>
      </c>
      <c r="C51" s="116"/>
      <c r="D51" s="116"/>
      <c r="E51" s="116"/>
      <c r="F51" s="116"/>
      <c r="G51" s="116"/>
      <c r="H51" s="116"/>
      <c r="I51" s="116"/>
      <c r="J51" s="116"/>
      <c r="K51" s="117">
        <f>SUM(K52:K153)</f>
        <v>11107481</v>
      </c>
      <c r="L51" s="117">
        <f t="shared" ref="L51:S51" si="11">SUM(L52:L153)</f>
        <v>0</v>
      </c>
      <c r="M51" s="117">
        <f t="shared" si="11"/>
        <v>11107481</v>
      </c>
      <c r="N51" s="117">
        <f t="shared" si="11"/>
        <v>65000</v>
      </c>
      <c r="O51" s="117">
        <f t="shared" si="11"/>
        <v>65000</v>
      </c>
      <c r="P51" s="117">
        <f t="shared" si="11"/>
        <v>65000</v>
      </c>
      <c r="Q51" s="117">
        <f t="shared" si="11"/>
        <v>65000</v>
      </c>
      <c r="R51" s="117">
        <f t="shared" si="11"/>
        <v>65000</v>
      </c>
      <c r="S51" s="117">
        <f t="shared" si="11"/>
        <v>10364147.370000001</v>
      </c>
      <c r="T51" s="117">
        <f>SUM(T52:T153)</f>
        <v>665532.19999999995</v>
      </c>
      <c r="U51" s="117">
        <f>SUM(U52:U153)</f>
        <v>665332.19999999995</v>
      </c>
      <c r="V51" s="118"/>
      <c r="W51" s="55"/>
      <c r="X51" s="55"/>
      <c r="Y51" s="55"/>
      <c r="Z51" s="55"/>
      <c r="AA51" s="119"/>
      <c r="AB51" s="119"/>
      <c r="AC51" s="120"/>
      <c r="AD51" s="120"/>
      <c r="AE51" s="120"/>
      <c r="AF51" s="120"/>
    </row>
    <row r="52" spans="1:32" s="115" customFormat="1" ht="40.200000000000003" customHeight="1">
      <c r="A52" s="70">
        <f>MAX(A$14:$A51)+1</f>
        <v>30</v>
      </c>
      <c r="B52" s="71" t="s">
        <v>577</v>
      </c>
      <c r="C52" s="72" t="s">
        <v>246</v>
      </c>
      <c r="D52" s="122" t="s">
        <v>47</v>
      </c>
      <c r="E52" s="122" t="s">
        <v>84</v>
      </c>
      <c r="F52" s="72" t="s">
        <v>578</v>
      </c>
      <c r="G52" s="110" t="s">
        <v>579</v>
      </c>
      <c r="H52" s="73" t="s">
        <v>580</v>
      </c>
      <c r="I52" s="72" t="s">
        <v>416</v>
      </c>
      <c r="J52" s="72"/>
      <c r="K52" s="111">
        <v>85000</v>
      </c>
      <c r="L52" s="111"/>
      <c r="M52" s="111">
        <f>K52</f>
        <v>85000</v>
      </c>
      <c r="N52" s="111"/>
      <c r="O52" s="111"/>
      <c r="P52" s="111"/>
      <c r="Q52" s="111"/>
      <c r="R52" s="111"/>
      <c r="S52" s="111">
        <f>M52</f>
        <v>85000</v>
      </c>
      <c r="T52" s="111">
        <v>8500</v>
      </c>
      <c r="U52" s="111">
        <v>8500</v>
      </c>
      <c r="V52" s="112"/>
      <c r="W52" s="55"/>
      <c r="X52" s="55"/>
      <c r="Y52" s="55"/>
      <c r="Z52" s="55"/>
      <c r="AA52" s="113"/>
      <c r="AB52" s="113"/>
      <c r="AC52" s="114"/>
      <c r="AD52" s="114"/>
      <c r="AE52" s="114"/>
      <c r="AF52" s="114"/>
    </row>
    <row r="53" spans="1:32" s="115" customFormat="1" ht="40.200000000000003" customHeight="1">
      <c r="A53" s="70">
        <f>MAX(A$14:$A52)+1</f>
        <v>31</v>
      </c>
      <c r="B53" s="71" t="s">
        <v>581</v>
      </c>
      <c r="C53" s="72" t="s">
        <v>246</v>
      </c>
      <c r="D53" s="72" t="s">
        <v>84</v>
      </c>
      <c r="E53" s="72" t="s">
        <v>84</v>
      </c>
      <c r="F53" s="72" t="s">
        <v>582</v>
      </c>
      <c r="G53" s="110" t="s">
        <v>583</v>
      </c>
      <c r="H53" s="73" t="s">
        <v>584</v>
      </c>
      <c r="I53" s="72" t="s">
        <v>416</v>
      </c>
      <c r="J53" s="72"/>
      <c r="K53" s="111">
        <v>50000</v>
      </c>
      <c r="L53" s="111"/>
      <c r="M53" s="111">
        <f>K53</f>
        <v>50000</v>
      </c>
      <c r="N53" s="111"/>
      <c r="O53" s="111"/>
      <c r="P53" s="111"/>
      <c r="Q53" s="111"/>
      <c r="R53" s="111"/>
      <c r="S53" s="111">
        <f>M53</f>
        <v>50000</v>
      </c>
      <c r="T53" s="111">
        <v>5000</v>
      </c>
      <c r="U53" s="111">
        <v>5000</v>
      </c>
      <c r="V53" s="112"/>
      <c r="W53" s="55"/>
      <c r="X53" s="55"/>
      <c r="Y53" s="55"/>
      <c r="Z53" s="55"/>
      <c r="AA53" s="113"/>
      <c r="AB53" s="113"/>
      <c r="AC53" s="114"/>
      <c r="AD53" s="114"/>
      <c r="AE53" s="114"/>
      <c r="AF53" s="114"/>
    </row>
    <row r="54" spans="1:32" s="115" customFormat="1" ht="40.200000000000003" customHeight="1">
      <c r="A54" s="70">
        <f>MAX(A$14:$A53)+1</f>
        <v>32</v>
      </c>
      <c r="B54" s="71" t="s">
        <v>585</v>
      </c>
      <c r="C54" s="72" t="s">
        <v>246</v>
      </c>
      <c r="D54" s="72" t="s">
        <v>47</v>
      </c>
      <c r="E54" s="72" t="s">
        <v>47</v>
      </c>
      <c r="F54" s="72" t="s">
        <v>586</v>
      </c>
      <c r="G54" s="72" t="s">
        <v>587</v>
      </c>
      <c r="H54" s="73" t="s">
        <v>446</v>
      </c>
      <c r="I54" s="72" t="s">
        <v>416</v>
      </c>
      <c r="J54" s="72"/>
      <c r="K54" s="111">
        <v>630000</v>
      </c>
      <c r="L54" s="111"/>
      <c r="M54" s="111">
        <f>K54</f>
        <v>630000</v>
      </c>
      <c r="N54" s="111"/>
      <c r="O54" s="111"/>
      <c r="P54" s="111"/>
      <c r="Q54" s="111"/>
      <c r="R54" s="111"/>
      <c r="S54" s="111">
        <f>M54</f>
        <v>630000</v>
      </c>
      <c r="T54" s="111">
        <v>63000</v>
      </c>
      <c r="U54" s="111">
        <v>63000</v>
      </c>
      <c r="V54" s="123"/>
      <c r="W54" s="55"/>
      <c r="X54" s="55"/>
      <c r="Y54" s="55"/>
      <c r="Z54" s="55"/>
      <c r="AA54" s="124"/>
      <c r="AB54" s="125"/>
      <c r="AC54" s="114"/>
      <c r="AD54" s="114"/>
      <c r="AE54" s="114"/>
      <c r="AF54" s="114"/>
    </row>
    <row r="55" spans="1:32" s="115" customFormat="1" ht="40.200000000000003" customHeight="1">
      <c r="A55" s="70">
        <f>MAX(A$14:$A54)+1</f>
        <v>33</v>
      </c>
      <c r="B55" s="71" t="s">
        <v>588</v>
      </c>
      <c r="C55" s="72" t="s">
        <v>246</v>
      </c>
      <c r="D55" s="72" t="s">
        <v>47</v>
      </c>
      <c r="E55" s="72" t="s">
        <v>47</v>
      </c>
      <c r="F55" s="72" t="s">
        <v>589</v>
      </c>
      <c r="G55" s="72" t="s">
        <v>590</v>
      </c>
      <c r="H55" s="73" t="s">
        <v>446</v>
      </c>
      <c r="I55" s="72" t="s">
        <v>416</v>
      </c>
      <c r="J55" s="72"/>
      <c r="K55" s="111">
        <v>208000</v>
      </c>
      <c r="L55" s="111"/>
      <c r="M55" s="111">
        <f>K55</f>
        <v>208000</v>
      </c>
      <c r="N55" s="111"/>
      <c r="O55" s="111"/>
      <c r="P55" s="111"/>
      <c r="Q55" s="111"/>
      <c r="R55" s="111"/>
      <c r="S55" s="111">
        <f>M55</f>
        <v>208000</v>
      </c>
      <c r="T55" s="111">
        <v>20800</v>
      </c>
      <c r="U55" s="111">
        <v>20800</v>
      </c>
      <c r="V55" s="126"/>
      <c r="W55" s="55"/>
      <c r="X55" s="55"/>
      <c r="Y55" s="55"/>
      <c r="Z55" s="55"/>
      <c r="AA55" s="124"/>
      <c r="AB55" s="125"/>
      <c r="AC55" s="114"/>
      <c r="AD55" s="114"/>
      <c r="AE55" s="114"/>
      <c r="AF55" s="114"/>
    </row>
    <row r="56" spans="1:32" s="115" customFormat="1" ht="40.200000000000003" customHeight="1">
      <c r="A56" s="70">
        <f>MAX(A$14:$A55)+1</f>
        <v>34</v>
      </c>
      <c r="B56" s="71" t="s">
        <v>591</v>
      </c>
      <c r="C56" s="72" t="s">
        <v>246</v>
      </c>
      <c r="D56" s="72" t="s">
        <v>47</v>
      </c>
      <c r="E56" s="72" t="s">
        <v>47</v>
      </c>
      <c r="F56" s="72" t="s">
        <v>592</v>
      </c>
      <c r="G56" s="110" t="s">
        <v>593</v>
      </c>
      <c r="H56" s="73" t="s">
        <v>446</v>
      </c>
      <c r="I56" s="72" t="s">
        <v>416</v>
      </c>
      <c r="J56" s="72"/>
      <c r="K56" s="111">
        <v>832000</v>
      </c>
      <c r="L56" s="111"/>
      <c r="M56" s="111">
        <f>K56</f>
        <v>832000</v>
      </c>
      <c r="N56" s="111"/>
      <c r="O56" s="111"/>
      <c r="P56" s="111"/>
      <c r="Q56" s="111"/>
      <c r="R56" s="111"/>
      <c r="S56" s="111">
        <f>M56</f>
        <v>832000</v>
      </c>
      <c r="T56" s="111">
        <v>83200</v>
      </c>
      <c r="U56" s="111">
        <v>83200</v>
      </c>
      <c r="V56" s="112"/>
      <c r="W56" s="55"/>
      <c r="X56" s="55"/>
      <c r="Y56" s="55"/>
      <c r="Z56" s="55"/>
      <c r="AA56" s="113"/>
      <c r="AB56" s="113"/>
      <c r="AC56" s="114"/>
      <c r="AD56" s="114"/>
      <c r="AE56" s="114"/>
      <c r="AF56" s="114"/>
    </row>
    <row r="57" spans="1:32" s="115" customFormat="1" ht="40.200000000000003" customHeight="1">
      <c r="A57" s="70">
        <f>MAX(A$14:$A56)+1</f>
        <v>35</v>
      </c>
      <c r="B57" s="71" t="s">
        <v>594</v>
      </c>
      <c r="C57" s="72" t="s">
        <v>458</v>
      </c>
      <c r="D57" s="72" t="s">
        <v>47</v>
      </c>
      <c r="E57" s="72" t="s">
        <v>47</v>
      </c>
      <c r="F57" s="72" t="s">
        <v>595</v>
      </c>
      <c r="G57" s="110" t="s">
        <v>596</v>
      </c>
      <c r="H57" s="73" t="s">
        <v>597</v>
      </c>
      <c r="I57" s="72" t="s">
        <v>598</v>
      </c>
      <c r="J57" s="72"/>
      <c r="K57" s="111">
        <v>850000</v>
      </c>
      <c r="L57" s="111"/>
      <c r="M57" s="111">
        <v>850000</v>
      </c>
      <c r="N57" s="111"/>
      <c r="O57" s="111"/>
      <c r="P57" s="111"/>
      <c r="Q57" s="111"/>
      <c r="R57" s="111"/>
      <c r="S57" s="111">
        <v>850000</v>
      </c>
      <c r="T57" s="111"/>
      <c r="U57" s="111"/>
      <c r="V57" s="112"/>
      <c r="W57" s="55"/>
      <c r="X57" s="55"/>
      <c r="Y57" s="55"/>
      <c r="Z57" s="55"/>
      <c r="AA57" s="113"/>
      <c r="AB57" s="113"/>
      <c r="AC57" s="114"/>
      <c r="AD57" s="114"/>
      <c r="AE57" s="114"/>
      <c r="AF57" s="114"/>
    </row>
    <row r="58" spans="1:32" s="115" customFormat="1" ht="65.25" customHeight="1">
      <c r="A58" s="70">
        <f>MAX(A$14:$A57)+1</f>
        <v>36</v>
      </c>
      <c r="B58" s="71" t="s">
        <v>599</v>
      </c>
      <c r="C58" s="72" t="s">
        <v>458</v>
      </c>
      <c r="D58" s="72" t="s">
        <v>47</v>
      </c>
      <c r="E58" s="72" t="s">
        <v>47</v>
      </c>
      <c r="F58" s="72" t="s">
        <v>600</v>
      </c>
      <c r="G58" s="110" t="s">
        <v>601</v>
      </c>
      <c r="H58" s="73" t="s">
        <v>602</v>
      </c>
      <c r="I58" s="72" t="s">
        <v>547</v>
      </c>
      <c r="J58" s="72"/>
      <c r="K58" s="111">
        <v>1300000</v>
      </c>
      <c r="L58" s="111"/>
      <c r="M58" s="111">
        <v>1300000</v>
      </c>
      <c r="N58" s="111"/>
      <c r="O58" s="111"/>
      <c r="P58" s="111"/>
      <c r="Q58" s="111"/>
      <c r="R58" s="111"/>
      <c r="S58" s="111">
        <v>1300000</v>
      </c>
      <c r="T58" s="111"/>
      <c r="U58" s="111"/>
      <c r="V58" s="112"/>
      <c r="W58" s="55"/>
      <c r="X58" s="55"/>
      <c r="Y58" s="55"/>
      <c r="Z58" s="55"/>
      <c r="AA58" s="113"/>
      <c r="AB58" s="113"/>
      <c r="AC58" s="114"/>
      <c r="AD58" s="114"/>
      <c r="AE58" s="114"/>
      <c r="AF58" s="114"/>
    </row>
    <row r="59" spans="1:32" s="115" customFormat="1" ht="40.200000000000003" customHeight="1">
      <c r="A59" s="70">
        <f>MAX(A$14:$A58)+1</f>
        <v>37</v>
      </c>
      <c r="B59" s="71" t="s">
        <v>603</v>
      </c>
      <c r="C59" s="72" t="s">
        <v>458</v>
      </c>
      <c r="D59" s="72" t="s">
        <v>84</v>
      </c>
      <c r="E59" s="72" t="s">
        <v>84</v>
      </c>
      <c r="F59" s="72" t="s">
        <v>604</v>
      </c>
      <c r="G59" s="110" t="s">
        <v>605</v>
      </c>
      <c r="H59" s="73" t="s">
        <v>606</v>
      </c>
      <c r="I59" s="72" t="s">
        <v>607</v>
      </c>
      <c r="J59" s="72"/>
      <c r="K59" s="111">
        <v>67000</v>
      </c>
      <c r="L59" s="111"/>
      <c r="M59" s="111">
        <v>67000</v>
      </c>
      <c r="N59" s="111"/>
      <c r="O59" s="111"/>
      <c r="P59" s="111"/>
      <c r="Q59" s="111"/>
      <c r="R59" s="111"/>
      <c r="S59" s="111">
        <v>67000</v>
      </c>
      <c r="T59" s="111">
        <v>200</v>
      </c>
      <c r="U59" s="111"/>
      <c r="V59" s="112"/>
      <c r="W59" s="55"/>
      <c r="X59" s="55"/>
      <c r="Y59" s="55"/>
      <c r="Z59" s="55"/>
      <c r="AA59" s="113"/>
      <c r="AB59" s="113"/>
      <c r="AC59" s="114"/>
      <c r="AD59" s="114"/>
      <c r="AE59" s="114"/>
      <c r="AF59" s="114"/>
    </row>
    <row r="60" spans="1:32" s="115" customFormat="1" ht="40.200000000000003" customHeight="1">
      <c r="A60" s="70">
        <f>MAX(A$14:$A59)+1</f>
        <v>38</v>
      </c>
      <c r="B60" s="71" t="s">
        <v>608</v>
      </c>
      <c r="C60" s="72" t="s">
        <v>458</v>
      </c>
      <c r="D60" s="72" t="s">
        <v>84</v>
      </c>
      <c r="E60" s="72" t="s">
        <v>84</v>
      </c>
      <c r="F60" s="72" t="s">
        <v>609</v>
      </c>
      <c r="G60" s="110" t="s">
        <v>610</v>
      </c>
      <c r="H60" s="73" t="s">
        <v>611</v>
      </c>
      <c r="I60" s="72" t="s">
        <v>612</v>
      </c>
      <c r="J60" s="72"/>
      <c r="K60" s="111">
        <v>46000</v>
      </c>
      <c r="L60" s="111"/>
      <c r="M60" s="111">
        <v>46000</v>
      </c>
      <c r="N60" s="111"/>
      <c r="O60" s="111"/>
      <c r="P60" s="111"/>
      <c r="Q60" s="111"/>
      <c r="R60" s="111"/>
      <c r="S60" s="111">
        <v>46000</v>
      </c>
      <c r="T60" s="111"/>
      <c r="U60" s="111"/>
      <c r="V60" s="112"/>
      <c r="W60" s="55"/>
      <c r="X60" s="55"/>
      <c r="Y60" s="55"/>
      <c r="Z60" s="55"/>
      <c r="AA60" s="113"/>
      <c r="AB60" s="113"/>
      <c r="AC60" s="114"/>
      <c r="AD60" s="114"/>
      <c r="AE60" s="114"/>
      <c r="AF60" s="114"/>
    </row>
    <row r="61" spans="1:32" s="115" customFormat="1" ht="40.200000000000003" customHeight="1">
      <c r="A61" s="70">
        <f>MAX(A$14:$A60)+1</f>
        <v>39</v>
      </c>
      <c r="B61" s="71" t="s">
        <v>613</v>
      </c>
      <c r="C61" s="72" t="s">
        <v>458</v>
      </c>
      <c r="D61" s="72" t="s">
        <v>47</v>
      </c>
      <c r="E61" s="72" t="s">
        <v>47</v>
      </c>
      <c r="F61" s="72" t="s">
        <v>614</v>
      </c>
      <c r="G61" s="110" t="s">
        <v>615</v>
      </c>
      <c r="H61" s="73" t="s">
        <v>616</v>
      </c>
      <c r="I61" s="72" t="s">
        <v>416</v>
      </c>
      <c r="J61" s="72"/>
      <c r="K61" s="111">
        <v>200000</v>
      </c>
      <c r="L61" s="111"/>
      <c r="M61" s="111">
        <v>200000</v>
      </c>
      <c r="N61" s="111"/>
      <c r="O61" s="111"/>
      <c r="P61" s="111"/>
      <c r="Q61" s="111"/>
      <c r="R61" s="111"/>
      <c r="S61" s="111">
        <v>200000</v>
      </c>
      <c r="T61" s="111"/>
      <c r="U61" s="111"/>
      <c r="V61" s="112"/>
      <c r="W61" s="55"/>
      <c r="X61" s="55"/>
      <c r="Y61" s="55"/>
      <c r="Z61" s="55"/>
      <c r="AA61" s="113"/>
      <c r="AB61" s="113"/>
      <c r="AC61" s="114"/>
      <c r="AD61" s="114"/>
      <c r="AE61" s="114"/>
      <c r="AF61" s="114"/>
    </row>
    <row r="62" spans="1:32" s="115" customFormat="1" ht="64.5" customHeight="1">
      <c r="A62" s="70">
        <f>MAX(A$14:$A61)+1</f>
        <v>40</v>
      </c>
      <c r="B62" s="71" t="s">
        <v>617</v>
      </c>
      <c r="C62" s="72" t="s">
        <v>458</v>
      </c>
      <c r="D62" s="72" t="s">
        <v>47</v>
      </c>
      <c r="E62" s="72" t="s">
        <v>47</v>
      </c>
      <c r="F62" s="72" t="s">
        <v>618</v>
      </c>
      <c r="G62" s="110" t="s">
        <v>619</v>
      </c>
      <c r="H62" s="73" t="s">
        <v>620</v>
      </c>
      <c r="I62" s="72" t="s">
        <v>568</v>
      </c>
      <c r="J62" s="72"/>
      <c r="K62" s="111">
        <v>200000</v>
      </c>
      <c r="L62" s="111"/>
      <c r="M62" s="111">
        <v>200000</v>
      </c>
      <c r="N62" s="111"/>
      <c r="O62" s="111"/>
      <c r="P62" s="111"/>
      <c r="Q62" s="111"/>
      <c r="R62" s="111"/>
      <c r="S62" s="111">
        <v>200000</v>
      </c>
      <c r="T62" s="111"/>
      <c r="U62" s="111"/>
      <c r="V62" s="112"/>
      <c r="W62" s="55"/>
      <c r="X62" s="55"/>
      <c r="Y62" s="55"/>
      <c r="Z62" s="55"/>
      <c r="AA62" s="113"/>
      <c r="AB62" s="113"/>
      <c r="AC62" s="114"/>
      <c r="AD62" s="114"/>
      <c r="AE62" s="114"/>
      <c r="AF62" s="114"/>
    </row>
    <row r="63" spans="1:32" s="115" customFormat="1" ht="40.200000000000003" customHeight="1">
      <c r="A63" s="70">
        <f>MAX(A$14:$A62)+1</f>
        <v>41</v>
      </c>
      <c r="B63" s="71" t="s">
        <v>621</v>
      </c>
      <c r="C63" s="72" t="s">
        <v>472</v>
      </c>
      <c r="D63" s="72" t="s">
        <v>84</v>
      </c>
      <c r="E63" s="72" t="s">
        <v>84</v>
      </c>
      <c r="F63" s="72" t="s">
        <v>311</v>
      </c>
      <c r="G63" s="110" t="s">
        <v>622</v>
      </c>
      <c r="H63" s="73" t="s">
        <v>623</v>
      </c>
      <c r="I63" s="72" t="s">
        <v>475</v>
      </c>
      <c r="J63" s="72"/>
      <c r="K63" s="111">
        <v>32000</v>
      </c>
      <c r="L63" s="111"/>
      <c r="M63" s="111">
        <v>32000</v>
      </c>
      <c r="N63" s="111"/>
      <c r="O63" s="111"/>
      <c r="P63" s="111"/>
      <c r="Q63" s="111"/>
      <c r="R63" s="111"/>
      <c r="S63" s="111">
        <v>32000</v>
      </c>
      <c r="T63" s="111">
        <v>10000</v>
      </c>
      <c r="U63" s="111">
        <v>10000</v>
      </c>
      <c r="V63" s="112"/>
      <c r="W63" s="55"/>
      <c r="X63" s="55"/>
      <c r="Y63" s="55"/>
      <c r="Z63" s="55"/>
      <c r="AA63" s="113"/>
      <c r="AB63" s="113"/>
      <c r="AC63" s="114"/>
      <c r="AD63" s="114"/>
      <c r="AE63" s="114"/>
      <c r="AF63" s="114"/>
    </row>
    <row r="64" spans="1:32" s="115" customFormat="1" ht="40.200000000000003" customHeight="1">
      <c r="A64" s="70">
        <f>MAX(A$14:$A63)+1</f>
        <v>42</v>
      </c>
      <c r="B64" s="71" t="s">
        <v>624</v>
      </c>
      <c r="C64" s="72" t="s">
        <v>472</v>
      </c>
      <c r="D64" s="72" t="s">
        <v>84</v>
      </c>
      <c r="E64" s="72" t="s">
        <v>84</v>
      </c>
      <c r="F64" s="72" t="s">
        <v>311</v>
      </c>
      <c r="G64" s="110" t="s">
        <v>625</v>
      </c>
      <c r="H64" s="73" t="s">
        <v>626</v>
      </c>
      <c r="I64" s="72" t="s">
        <v>475</v>
      </c>
      <c r="J64" s="72"/>
      <c r="K64" s="111">
        <v>70000</v>
      </c>
      <c r="L64" s="111"/>
      <c r="M64" s="111">
        <v>70000</v>
      </c>
      <c r="N64" s="111"/>
      <c r="O64" s="111"/>
      <c r="P64" s="111"/>
      <c r="Q64" s="111"/>
      <c r="R64" s="111"/>
      <c r="S64" s="111">
        <v>70000</v>
      </c>
      <c r="T64" s="111">
        <v>20000</v>
      </c>
      <c r="U64" s="111">
        <v>20000</v>
      </c>
      <c r="V64" s="112"/>
      <c r="W64" s="55"/>
      <c r="X64" s="55"/>
      <c r="Y64" s="55"/>
      <c r="Z64" s="55"/>
      <c r="AA64" s="113"/>
      <c r="AB64" s="113"/>
      <c r="AC64" s="114"/>
      <c r="AD64" s="114"/>
      <c r="AE64" s="114"/>
      <c r="AF64" s="114"/>
    </row>
    <row r="65" spans="1:32" s="115" customFormat="1" ht="39.75" customHeight="1">
      <c r="A65" s="70">
        <f>MAX(A$14:$A64)+1</f>
        <v>43</v>
      </c>
      <c r="B65" s="7" t="s">
        <v>236</v>
      </c>
      <c r="C65" s="72" t="s">
        <v>472</v>
      </c>
      <c r="D65" s="78" t="s">
        <v>47</v>
      </c>
      <c r="E65" s="78" t="s">
        <v>84</v>
      </c>
      <c r="F65" s="72" t="s">
        <v>314</v>
      </c>
      <c r="G65" s="110" t="s">
        <v>627</v>
      </c>
      <c r="H65" s="127" t="s">
        <v>628</v>
      </c>
      <c r="I65" s="72" t="s">
        <v>629</v>
      </c>
      <c r="J65" s="72"/>
      <c r="K65" s="111">
        <v>134757</v>
      </c>
      <c r="L65" s="111"/>
      <c r="M65" s="111">
        <v>134757</v>
      </c>
      <c r="N65" s="111"/>
      <c r="O65" s="111"/>
      <c r="P65" s="111"/>
      <c r="Q65" s="111"/>
      <c r="R65" s="111"/>
      <c r="S65" s="111">
        <v>131423.37</v>
      </c>
      <c r="T65" s="111">
        <v>50000</v>
      </c>
      <c r="U65" s="111">
        <v>50000</v>
      </c>
      <c r="V65" s="112" t="s">
        <v>630</v>
      </c>
      <c r="W65" s="55"/>
      <c r="X65" s="55"/>
      <c r="Y65" s="55"/>
      <c r="Z65" s="55"/>
      <c r="AA65" s="113"/>
      <c r="AB65" s="113"/>
      <c r="AC65" s="114"/>
      <c r="AD65" s="114"/>
      <c r="AE65" s="114"/>
      <c r="AF65" s="114"/>
    </row>
    <row r="66" spans="1:32" s="115" customFormat="1" ht="40.200000000000003" customHeight="1">
      <c r="A66" s="70">
        <f>MAX(A$14:$A65)+1</f>
        <v>44</v>
      </c>
      <c r="B66" s="128" t="s">
        <v>631</v>
      </c>
      <c r="C66" s="129" t="s">
        <v>632</v>
      </c>
      <c r="D66" s="78" t="s">
        <v>84</v>
      </c>
      <c r="E66" s="78" t="s">
        <v>84</v>
      </c>
      <c r="F66" s="130" t="s">
        <v>633</v>
      </c>
      <c r="G66" s="78" t="s">
        <v>634</v>
      </c>
      <c r="H66" s="127" t="s">
        <v>628</v>
      </c>
      <c r="I66" s="78" t="s">
        <v>568</v>
      </c>
      <c r="J66" s="131"/>
      <c r="K66" s="131">
        <v>58000</v>
      </c>
      <c r="L66" s="111"/>
      <c r="M66" s="131">
        <v>58000</v>
      </c>
      <c r="N66" s="111"/>
      <c r="O66" s="111"/>
      <c r="P66" s="111"/>
      <c r="Q66" s="111"/>
      <c r="R66" s="111"/>
      <c r="S66" s="131">
        <v>58000</v>
      </c>
      <c r="T66" s="111"/>
      <c r="U66" s="111"/>
      <c r="V66" s="112"/>
      <c r="W66" s="55"/>
      <c r="X66" s="55"/>
      <c r="Y66" s="55"/>
      <c r="Z66" s="55"/>
      <c r="AA66" s="113"/>
      <c r="AB66" s="113"/>
      <c r="AC66" s="114"/>
      <c r="AD66" s="114"/>
      <c r="AE66" s="114"/>
      <c r="AF66" s="114"/>
    </row>
    <row r="67" spans="1:32" s="115" customFormat="1" ht="40.200000000000003" customHeight="1">
      <c r="A67" s="70">
        <f>MAX(A$14:$A66)+1</f>
        <v>45</v>
      </c>
      <c r="B67" s="128" t="s">
        <v>635</v>
      </c>
      <c r="C67" s="129" t="s">
        <v>632</v>
      </c>
      <c r="D67" s="78" t="s">
        <v>47</v>
      </c>
      <c r="E67" s="78" t="s">
        <v>47</v>
      </c>
      <c r="F67" s="130" t="s">
        <v>636</v>
      </c>
      <c r="G67" s="78" t="s">
        <v>637</v>
      </c>
      <c r="H67" s="127" t="s">
        <v>638</v>
      </c>
      <c r="I67" s="78" t="s">
        <v>462</v>
      </c>
      <c r="J67" s="131"/>
      <c r="K67" s="131">
        <v>350000</v>
      </c>
      <c r="L67" s="111"/>
      <c r="M67" s="131">
        <v>350000</v>
      </c>
      <c r="N67" s="111"/>
      <c r="O67" s="111"/>
      <c r="P67" s="111"/>
      <c r="Q67" s="111"/>
      <c r="R67" s="111"/>
      <c r="S67" s="131">
        <v>350000</v>
      </c>
      <c r="T67" s="111"/>
      <c r="U67" s="111"/>
      <c r="V67" s="112"/>
      <c r="W67" s="55"/>
      <c r="X67" s="55"/>
      <c r="Y67" s="55"/>
      <c r="Z67" s="55"/>
      <c r="AA67" s="113"/>
      <c r="AB67" s="113"/>
      <c r="AC67" s="114"/>
      <c r="AD67" s="114"/>
      <c r="AE67" s="114"/>
      <c r="AF67" s="114"/>
    </row>
    <row r="68" spans="1:32" s="115" customFormat="1" ht="40.200000000000003" customHeight="1">
      <c r="A68" s="70">
        <f>MAX(A$14:$A67)+1</f>
        <v>46</v>
      </c>
      <c r="B68" s="128" t="s">
        <v>639</v>
      </c>
      <c r="C68" s="129" t="s">
        <v>632</v>
      </c>
      <c r="D68" s="78" t="s">
        <v>47</v>
      </c>
      <c r="E68" s="78" t="s">
        <v>84</v>
      </c>
      <c r="F68" s="130" t="s">
        <v>339</v>
      </c>
      <c r="G68" s="78" t="s">
        <v>640</v>
      </c>
      <c r="H68" s="127" t="s">
        <v>641</v>
      </c>
      <c r="I68" s="78" t="s">
        <v>568</v>
      </c>
      <c r="J68" s="131"/>
      <c r="K68" s="131">
        <v>112000</v>
      </c>
      <c r="L68" s="111"/>
      <c r="M68" s="131">
        <v>112000</v>
      </c>
      <c r="N68" s="111"/>
      <c r="O68" s="111"/>
      <c r="P68" s="111"/>
      <c r="Q68" s="111"/>
      <c r="R68" s="111"/>
      <c r="S68" s="131">
        <v>112000</v>
      </c>
      <c r="T68" s="111"/>
      <c r="U68" s="111"/>
      <c r="V68" s="112"/>
      <c r="W68" s="55"/>
      <c r="X68" s="55"/>
      <c r="Y68" s="55"/>
      <c r="Z68" s="55"/>
      <c r="AA68" s="113"/>
      <c r="AB68" s="113"/>
      <c r="AC68" s="114"/>
      <c r="AD68" s="114"/>
      <c r="AE68" s="114"/>
      <c r="AF68" s="114"/>
    </row>
    <row r="69" spans="1:32" s="115" customFormat="1" ht="40.200000000000003" customHeight="1">
      <c r="A69" s="70">
        <f>MAX(A$14:$A68)+1</f>
        <v>47</v>
      </c>
      <c r="B69" s="128" t="s">
        <v>642</v>
      </c>
      <c r="C69" s="129" t="s">
        <v>632</v>
      </c>
      <c r="D69" s="78" t="s">
        <v>84</v>
      </c>
      <c r="E69" s="78" t="s">
        <v>84</v>
      </c>
      <c r="F69" s="129" t="s">
        <v>340</v>
      </c>
      <c r="G69" s="132" t="s">
        <v>643</v>
      </c>
      <c r="H69" s="133" t="s">
        <v>644</v>
      </c>
      <c r="I69" s="78" t="s">
        <v>568</v>
      </c>
      <c r="J69" s="131"/>
      <c r="K69" s="131">
        <v>28000</v>
      </c>
      <c r="L69" s="111"/>
      <c r="M69" s="131">
        <v>28000</v>
      </c>
      <c r="N69" s="111"/>
      <c r="O69" s="111"/>
      <c r="P69" s="111"/>
      <c r="Q69" s="111"/>
      <c r="R69" s="111"/>
      <c r="S69" s="131">
        <v>28000</v>
      </c>
      <c r="T69" s="111"/>
      <c r="U69" s="111"/>
      <c r="V69" s="112"/>
      <c r="W69" s="55"/>
      <c r="X69" s="55"/>
      <c r="Y69" s="55"/>
      <c r="Z69" s="55"/>
      <c r="AA69" s="113"/>
      <c r="AB69" s="113"/>
      <c r="AC69" s="114"/>
      <c r="AD69" s="114"/>
      <c r="AE69" s="114"/>
      <c r="AF69" s="114"/>
    </row>
    <row r="70" spans="1:32" s="115" customFormat="1" ht="53.4" customHeight="1">
      <c r="A70" s="70">
        <f>MAX(A$14:$A69)+1</f>
        <v>48</v>
      </c>
      <c r="B70" s="128" t="s">
        <v>645</v>
      </c>
      <c r="C70" s="129" t="s">
        <v>632</v>
      </c>
      <c r="D70" s="78" t="s">
        <v>47</v>
      </c>
      <c r="E70" s="78" t="s">
        <v>84</v>
      </c>
      <c r="F70" s="129" t="s">
        <v>340</v>
      </c>
      <c r="G70" s="132" t="s">
        <v>646</v>
      </c>
      <c r="H70" s="133" t="s">
        <v>647</v>
      </c>
      <c r="I70" s="78" t="s">
        <v>568</v>
      </c>
      <c r="J70" s="131"/>
      <c r="K70" s="131">
        <v>100000</v>
      </c>
      <c r="L70" s="111"/>
      <c r="M70" s="131">
        <v>100000</v>
      </c>
      <c r="N70" s="111"/>
      <c r="O70" s="111"/>
      <c r="P70" s="111"/>
      <c r="Q70" s="111"/>
      <c r="R70" s="111"/>
      <c r="S70" s="131">
        <v>100000</v>
      </c>
      <c r="T70" s="111"/>
      <c r="U70" s="111"/>
      <c r="V70" s="112"/>
      <c r="W70" s="55"/>
      <c r="X70" s="55"/>
      <c r="Y70" s="55"/>
      <c r="Z70" s="55"/>
      <c r="AA70" s="113"/>
      <c r="AB70" s="113"/>
      <c r="AC70" s="114"/>
      <c r="AD70" s="114"/>
      <c r="AE70" s="114"/>
      <c r="AF70" s="114"/>
    </row>
    <row r="71" spans="1:32" s="115" customFormat="1" ht="40.200000000000003" customHeight="1">
      <c r="A71" s="70">
        <f>MAX(A$14:$A70)+1</f>
        <v>49</v>
      </c>
      <c r="B71" s="134" t="s">
        <v>648</v>
      </c>
      <c r="C71" s="129" t="s">
        <v>632</v>
      </c>
      <c r="D71" s="78" t="s">
        <v>84</v>
      </c>
      <c r="E71" s="78" t="s">
        <v>84</v>
      </c>
      <c r="F71" s="129" t="s">
        <v>340</v>
      </c>
      <c r="G71" s="132" t="s">
        <v>649</v>
      </c>
      <c r="H71" s="133" t="s">
        <v>650</v>
      </c>
      <c r="I71" s="78" t="s">
        <v>568</v>
      </c>
      <c r="J71" s="131"/>
      <c r="K71" s="131">
        <v>5000</v>
      </c>
      <c r="L71" s="111"/>
      <c r="M71" s="131">
        <v>5000</v>
      </c>
      <c r="N71" s="111"/>
      <c r="O71" s="111"/>
      <c r="P71" s="111"/>
      <c r="Q71" s="111"/>
      <c r="R71" s="111"/>
      <c r="S71" s="131">
        <v>5000</v>
      </c>
      <c r="T71" s="111"/>
      <c r="U71" s="111"/>
      <c r="V71" s="112"/>
      <c r="W71" s="55"/>
      <c r="X71" s="55"/>
      <c r="Y71" s="55"/>
      <c r="Z71" s="55"/>
      <c r="AA71" s="113"/>
      <c r="AB71" s="113"/>
      <c r="AC71" s="114"/>
      <c r="AD71" s="114"/>
      <c r="AE71" s="114"/>
      <c r="AF71" s="114"/>
    </row>
    <row r="72" spans="1:32" s="121" customFormat="1" ht="40.200000000000003" customHeight="1">
      <c r="A72" s="70">
        <f>MAX(A$14:$A71)+1</f>
        <v>50</v>
      </c>
      <c r="B72" s="134" t="s">
        <v>651</v>
      </c>
      <c r="C72" s="129" t="s">
        <v>632</v>
      </c>
      <c r="D72" s="78" t="s">
        <v>84</v>
      </c>
      <c r="E72" s="78" t="s">
        <v>84</v>
      </c>
      <c r="F72" s="129" t="s">
        <v>339</v>
      </c>
      <c r="G72" s="135" t="s">
        <v>652</v>
      </c>
      <c r="H72" s="133" t="s">
        <v>653</v>
      </c>
      <c r="I72" s="78" t="s">
        <v>568</v>
      </c>
      <c r="J72" s="131"/>
      <c r="K72" s="131">
        <v>65000</v>
      </c>
      <c r="L72" s="111"/>
      <c r="M72" s="131">
        <v>65000</v>
      </c>
      <c r="N72" s="136"/>
      <c r="O72" s="136"/>
      <c r="P72" s="136"/>
      <c r="Q72" s="136"/>
      <c r="R72" s="136"/>
      <c r="S72" s="131">
        <v>65000</v>
      </c>
      <c r="T72" s="111">
        <v>65000</v>
      </c>
      <c r="U72" s="111">
        <v>65000</v>
      </c>
      <c r="V72" s="137"/>
      <c r="W72" s="55"/>
      <c r="X72" s="55"/>
      <c r="Y72" s="55"/>
      <c r="Z72" s="55"/>
      <c r="AA72" s="119"/>
      <c r="AB72" s="120"/>
      <c r="AC72" s="120"/>
      <c r="AD72" s="120"/>
      <c r="AE72" s="120"/>
      <c r="AF72" s="120"/>
    </row>
    <row r="73" spans="1:32" s="121" customFormat="1" ht="40.200000000000003" customHeight="1">
      <c r="A73" s="70">
        <f>MAX(A$14:$A72)+1</f>
        <v>51</v>
      </c>
      <c r="B73" s="77" t="s">
        <v>654</v>
      </c>
      <c r="C73" s="129" t="s">
        <v>632</v>
      </c>
      <c r="D73" s="78" t="s">
        <v>84</v>
      </c>
      <c r="E73" s="78" t="s">
        <v>84</v>
      </c>
      <c r="F73" s="130" t="s">
        <v>352</v>
      </c>
      <c r="G73" s="78" t="s">
        <v>655</v>
      </c>
      <c r="H73" s="127" t="s">
        <v>656</v>
      </c>
      <c r="I73" s="78" t="s">
        <v>568</v>
      </c>
      <c r="J73" s="131"/>
      <c r="K73" s="131">
        <v>50000</v>
      </c>
      <c r="L73" s="111"/>
      <c r="M73" s="131">
        <v>50000</v>
      </c>
      <c r="N73" s="136"/>
      <c r="O73" s="136"/>
      <c r="P73" s="136"/>
      <c r="Q73" s="136"/>
      <c r="R73" s="136"/>
      <c r="S73" s="131">
        <v>50000</v>
      </c>
      <c r="T73" s="111">
        <v>25000</v>
      </c>
      <c r="U73" s="111">
        <v>25000</v>
      </c>
      <c r="V73" s="137"/>
      <c r="W73" s="55"/>
      <c r="X73" s="55"/>
      <c r="Y73" s="55"/>
      <c r="Z73" s="55"/>
      <c r="AA73" s="119"/>
      <c r="AB73" s="120"/>
      <c r="AC73" s="120"/>
      <c r="AD73" s="120"/>
      <c r="AE73" s="120"/>
      <c r="AF73" s="120"/>
    </row>
    <row r="74" spans="1:32" s="121" customFormat="1" ht="40.200000000000003" customHeight="1">
      <c r="A74" s="70">
        <f>MAX(A$14:$A73)+1</f>
        <v>52</v>
      </c>
      <c r="B74" s="134" t="s">
        <v>657</v>
      </c>
      <c r="C74" s="129" t="s">
        <v>632</v>
      </c>
      <c r="D74" s="78" t="s">
        <v>84</v>
      </c>
      <c r="E74" s="78" t="s">
        <v>84</v>
      </c>
      <c r="F74" s="130" t="s">
        <v>352</v>
      </c>
      <c r="G74" s="78" t="s">
        <v>658</v>
      </c>
      <c r="H74" s="127" t="s">
        <v>659</v>
      </c>
      <c r="I74" s="78" t="s">
        <v>568</v>
      </c>
      <c r="J74" s="131"/>
      <c r="K74" s="131">
        <v>25000</v>
      </c>
      <c r="L74" s="111"/>
      <c r="M74" s="131">
        <v>25000</v>
      </c>
      <c r="N74" s="136"/>
      <c r="O74" s="136"/>
      <c r="P74" s="136"/>
      <c r="Q74" s="136"/>
      <c r="R74" s="136"/>
      <c r="S74" s="131">
        <v>25000</v>
      </c>
      <c r="T74" s="111">
        <v>12500</v>
      </c>
      <c r="U74" s="111">
        <v>12500</v>
      </c>
      <c r="V74" s="137"/>
      <c r="W74" s="55"/>
      <c r="X74" s="55"/>
      <c r="Y74" s="55"/>
      <c r="Z74" s="55"/>
      <c r="AA74" s="119"/>
      <c r="AB74" s="120"/>
      <c r="AC74" s="120"/>
      <c r="AD74" s="120"/>
      <c r="AE74" s="120"/>
      <c r="AF74" s="120"/>
    </row>
    <row r="75" spans="1:32" s="121" customFormat="1" ht="40.200000000000003" customHeight="1">
      <c r="A75" s="70">
        <f>MAX(A$14:$A74)+1</f>
        <v>53</v>
      </c>
      <c r="B75" s="134" t="s">
        <v>660</v>
      </c>
      <c r="C75" s="129" t="s">
        <v>632</v>
      </c>
      <c r="D75" s="78" t="s">
        <v>84</v>
      </c>
      <c r="E75" s="78" t="s">
        <v>84</v>
      </c>
      <c r="F75" s="130" t="s">
        <v>352</v>
      </c>
      <c r="G75" s="78" t="s">
        <v>661</v>
      </c>
      <c r="H75" s="127" t="s">
        <v>662</v>
      </c>
      <c r="I75" s="78" t="s">
        <v>568</v>
      </c>
      <c r="J75" s="131"/>
      <c r="K75" s="131">
        <v>20000</v>
      </c>
      <c r="L75" s="111"/>
      <c r="M75" s="131">
        <v>20000</v>
      </c>
      <c r="N75" s="136"/>
      <c r="O75" s="136"/>
      <c r="P75" s="136"/>
      <c r="Q75" s="136"/>
      <c r="R75" s="136"/>
      <c r="S75" s="131">
        <v>20000</v>
      </c>
      <c r="T75" s="111">
        <v>10000</v>
      </c>
      <c r="U75" s="111">
        <v>10000</v>
      </c>
      <c r="V75" s="137"/>
      <c r="W75" s="55"/>
      <c r="X75" s="55"/>
      <c r="Y75" s="55"/>
      <c r="Z75" s="55"/>
      <c r="AA75" s="119"/>
      <c r="AB75" s="120"/>
      <c r="AC75" s="120"/>
      <c r="AD75" s="120"/>
      <c r="AE75" s="120"/>
      <c r="AF75" s="120"/>
    </row>
    <row r="76" spans="1:32" s="121" customFormat="1" ht="40.200000000000003" customHeight="1">
      <c r="A76" s="70">
        <f>MAX(A$14:$A75)+1</f>
        <v>54</v>
      </c>
      <c r="B76" s="77" t="s">
        <v>663</v>
      </c>
      <c r="C76" s="129" t="s">
        <v>632</v>
      </c>
      <c r="D76" s="78" t="s">
        <v>84</v>
      </c>
      <c r="E76" s="78" t="s">
        <v>84</v>
      </c>
      <c r="F76" s="130" t="s">
        <v>353</v>
      </c>
      <c r="G76" s="78" t="s">
        <v>664</v>
      </c>
      <c r="H76" s="138" t="s">
        <v>665</v>
      </c>
      <c r="I76" s="78" t="s">
        <v>612</v>
      </c>
      <c r="J76" s="131"/>
      <c r="K76" s="131">
        <v>60000</v>
      </c>
      <c r="L76" s="111"/>
      <c r="M76" s="131">
        <v>60000</v>
      </c>
      <c r="N76" s="136"/>
      <c r="O76" s="136"/>
      <c r="P76" s="136"/>
      <c r="Q76" s="136"/>
      <c r="R76" s="136"/>
      <c r="S76" s="131">
        <v>60000</v>
      </c>
      <c r="T76" s="111"/>
      <c r="U76" s="111"/>
      <c r="V76" s="137"/>
      <c r="W76" s="55"/>
      <c r="X76" s="55"/>
      <c r="Y76" s="55"/>
      <c r="Z76" s="55"/>
      <c r="AA76" s="119"/>
      <c r="AB76" s="120"/>
      <c r="AC76" s="120"/>
      <c r="AD76" s="120"/>
      <c r="AE76" s="120"/>
      <c r="AF76" s="120"/>
    </row>
    <row r="77" spans="1:32" s="121" customFormat="1" ht="40.200000000000003" customHeight="1">
      <c r="A77" s="70">
        <f>MAX(A$14:$A76)+1</f>
        <v>55</v>
      </c>
      <c r="B77" s="77" t="s">
        <v>666</v>
      </c>
      <c r="C77" s="129" t="s">
        <v>632</v>
      </c>
      <c r="D77" s="78" t="s">
        <v>84</v>
      </c>
      <c r="E77" s="78" t="s">
        <v>84</v>
      </c>
      <c r="F77" s="130" t="s">
        <v>353</v>
      </c>
      <c r="G77" s="78" t="s">
        <v>667</v>
      </c>
      <c r="H77" s="127" t="s">
        <v>656</v>
      </c>
      <c r="I77" s="78" t="s">
        <v>668</v>
      </c>
      <c r="J77" s="131"/>
      <c r="K77" s="131">
        <v>70000</v>
      </c>
      <c r="L77" s="111"/>
      <c r="M77" s="131">
        <v>70000</v>
      </c>
      <c r="N77" s="136"/>
      <c r="O77" s="136"/>
      <c r="P77" s="136"/>
      <c r="Q77" s="136"/>
      <c r="R77" s="136"/>
      <c r="S77" s="131">
        <v>70000</v>
      </c>
      <c r="T77" s="111"/>
      <c r="U77" s="111"/>
      <c r="V77" s="137"/>
      <c r="W77" s="55"/>
      <c r="X77" s="55"/>
      <c r="Y77" s="55"/>
      <c r="Z77" s="55"/>
      <c r="AA77" s="119"/>
      <c r="AB77" s="120"/>
      <c r="AC77" s="120"/>
      <c r="AD77" s="120"/>
      <c r="AE77" s="120"/>
      <c r="AF77" s="120"/>
    </row>
    <row r="78" spans="1:32" s="121" customFormat="1" ht="40.200000000000003" customHeight="1">
      <c r="A78" s="70">
        <f>MAX(A$14:$A77)+1</f>
        <v>56</v>
      </c>
      <c r="B78" s="77" t="s">
        <v>669</v>
      </c>
      <c r="C78" s="129" t="s">
        <v>632</v>
      </c>
      <c r="D78" s="78" t="s">
        <v>84</v>
      </c>
      <c r="E78" s="78" t="s">
        <v>84</v>
      </c>
      <c r="F78" s="130" t="s">
        <v>353</v>
      </c>
      <c r="G78" s="78" t="s">
        <v>670</v>
      </c>
      <c r="H78" s="127" t="s">
        <v>656</v>
      </c>
      <c r="I78" s="78" t="s">
        <v>612</v>
      </c>
      <c r="J78" s="131"/>
      <c r="K78" s="131">
        <v>70000</v>
      </c>
      <c r="L78" s="111"/>
      <c r="M78" s="131">
        <v>70000</v>
      </c>
      <c r="N78" s="136"/>
      <c r="O78" s="136"/>
      <c r="P78" s="136"/>
      <c r="Q78" s="136"/>
      <c r="R78" s="136"/>
      <c r="S78" s="131">
        <v>70000</v>
      </c>
      <c r="T78" s="111"/>
      <c r="U78" s="111"/>
      <c r="V78" s="137"/>
      <c r="W78" s="55"/>
      <c r="X78" s="55"/>
      <c r="Y78" s="55"/>
      <c r="Z78" s="55"/>
      <c r="AA78" s="119"/>
      <c r="AB78" s="120"/>
      <c r="AC78" s="120"/>
      <c r="AD78" s="120"/>
      <c r="AE78" s="120"/>
      <c r="AF78" s="120"/>
    </row>
    <row r="79" spans="1:32" s="121" customFormat="1" ht="40.200000000000003" customHeight="1">
      <c r="A79" s="70">
        <f>MAX(A$14:$A78)+1</f>
        <v>57</v>
      </c>
      <c r="B79" s="77" t="s">
        <v>671</v>
      </c>
      <c r="C79" s="129" t="s">
        <v>632</v>
      </c>
      <c r="D79" s="78" t="s">
        <v>84</v>
      </c>
      <c r="E79" s="78" t="s">
        <v>84</v>
      </c>
      <c r="F79" s="130" t="s">
        <v>352</v>
      </c>
      <c r="G79" s="78" t="s">
        <v>672</v>
      </c>
      <c r="H79" s="127" t="s">
        <v>665</v>
      </c>
      <c r="I79" s="78" t="s">
        <v>668</v>
      </c>
      <c r="J79" s="131"/>
      <c r="K79" s="131">
        <v>40000</v>
      </c>
      <c r="L79" s="111"/>
      <c r="M79" s="131">
        <v>40000</v>
      </c>
      <c r="N79" s="136"/>
      <c r="O79" s="136"/>
      <c r="P79" s="136"/>
      <c r="Q79" s="136"/>
      <c r="R79" s="136"/>
      <c r="S79" s="131">
        <v>40000</v>
      </c>
      <c r="T79" s="111"/>
      <c r="U79" s="111"/>
      <c r="V79" s="137"/>
      <c r="W79" s="55"/>
      <c r="X79" s="55"/>
      <c r="Y79" s="55"/>
      <c r="Z79" s="55"/>
      <c r="AA79" s="119"/>
      <c r="AB79" s="120"/>
      <c r="AC79" s="120"/>
      <c r="AD79" s="120"/>
      <c r="AE79" s="120"/>
      <c r="AF79" s="120"/>
    </row>
    <row r="80" spans="1:32" s="121" customFormat="1" ht="40.200000000000003" customHeight="1">
      <c r="A80" s="70">
        <f>MAX(A$14:$A79)+1</f>
        <v>58</v>
      </c>
      <c r="B80" s="77" t="s">
        <v>673</v>
      </c>
      <c r="C80" s="129" t="s">
        <v>632</v>
      </c>
      <c r="D80" s="78" t="s">
        <v>84</v>
      </c>
      <c r="E80" s="78" t="s">
        <v>84</v>
      </c>
      <c r="F80" s="130" t="s">
        <v>352</v>
      </c>
      <c r="G80" s="78" t="s">
        <v>674</v>
      </c>
      <c r="H80" s="138" t="s">
        <v>659</v>
      </c>
      <c r="I80" s="78" t="s">
        <v>612</v>
      </c>
      <c r="J80" s="131"/>
      <c r="K80" s="131">
        <v>20000</v>
      </c>
      <c r="L80" s="111"/>
      <c r="M80" s="131">
        <v>20000</v>
      </c>
      <c r="N80" s="136"/>
      <c r="O80" s="136"/>
      <c r="P80" s="136"/>
      <c r="Q80" s="136"/>
      <c r="R80" s="136"/>
      <c r="S80" s="131">
        <v>20000</v>
      </c>
      <c r="T80" s="111"/>
      <c r="U80" s="111"/>
      <c r="V80" s="137"/>
      <c r="W80" s="55"/>
      <c r="X80" s="55"/>
      <c r="Y80" s="55"/>
      <c r="Z80" s="55"/>
      <c r="AA80" s="119"/>
      <c r="AB80" s="120"/>
      <c r="AC80" s="120"/>
      <c r="AD80" s="120"/>
      <c r="AE80" s="120"/>
      <c r="AF80" s="120"/>
    </row>
    <row r="81" spans="1:32" s="121" customFormat="1" ht="40.200000000000003" customHeight="1">
      <c r="A81" s="70">
        <f>MAX(A$14:$A80)+1</f>
        <v>59</v>
      </c>
      <c r="B81" s="77" t="s">
        <v>675</v>
      </c>
      <c r="C81" s="129" t="s">
        <v>632</v>
      </c>
      <c r="D81" s="78" t="s">
        <v>84</v>
      </c>
      <c r="E81" s="78" t="s">
        <v>84</v>
      </c>
      <c r="F81" s="130" t="s">
        <v>352</v>
      </c>
      <c r="G81" s="78" t="s">
        <v>676</v>
      </c>
      <c r="H81" s="138" t="s">
        <v>677</v>
      </c>
      <c r="I81" s="78" t="s">
        <v>612</v>
      </c>
      <c r="J81" s="131"/>
      <c r="K81" s="131">
        <v>20000</v>
      </c>
      <c r="L81" s="111"/>
      <c r="M81" s="131">
        <v>20000</v>
      </c>
      <c r="N81" s="136"/>
      <c r="O81" s="136"/>
      <c r="P81" s="136"/>
      <c r="Q81" s="136"/>
      <c r="R81" s="136"/>
      <c r="S81" s="131">
        <v>20000</v>
      </c>
      <c r="T81" s="111"/>
      <c r="U81" s="111"/>
      <c r="V81" s="137"/>
      <c r="W81" s="55"/>
      <c r="X81" s="55"/>
      <c r="Y81" s="55"/>
      <c r="Z81" s="55"/>
      <c r="AA81" s="119"/>
      <c r="AB81" s="120"/>
      <c r="AC81" s="120"/>
      <c r="AD81" s="120"/>
      <c r="AE81" s="120"/>
      <c r="AF81" s="120"/>
    </row>
    <row r="82" spans="1:32" s="121" customFormat="1" ht="40.200000000000003" customHeight="1">
      <c r="A82" s="70">
        <f>MAX(A$14:$A81)+1</f>
        <v>60</v>
      </c>
      <c r="B82" s="77" t="s">
        <v>678</v>
      </c>
      <c r="C82" s="129" t="s">
        <v>632</v>
      </c>
      <c r="D82" s="78" t="s">
        <v>84</v>
      </c>
      <c r="E82" s="78" t="s">
        <v>84</v>
      </c>
      <c r="F82" s="130" t="s">
        <v>352</v>
      </c>
      <c r="G82" s="78" t="s">
        <v>679</v>
      </c>
      <c r="H82" s="138" t="s">
        <v>680</v>
      </c>
      <c r="I82" s="78" t="s">
        <v>612</v>
      </c>
      <c r="J82" s="131"/>
      <c r="K82" s="131">
        <v>75000</v>
      </c>
      <c r="L82" s="111"/>
      <c r="M82" s="131">
        <v>75000</v>
      </c>
      <c r="N82" s="136"/>
      <c r="O82" s="136"/>
      <c r="P82" s="136"/>
      <c r="Q82" s="136"/>
      <c r="R82" s="136"/>
      <c r="S82" s="131">
        <v>75000</v>
      </c>
      <c r="T82" s="111"/>
      <c r="U82" s="111"/>
      <c r="V82" s="137"/>
      <c r="W82" s="55"/>
      <c r="X82" s="55"/>
      <c r="Y82" s="55"/>
      <c r="Z82" s="55"/>
      <c r="AA82" s="119"/>
      <c r="AB82" s="120"/>
      <c r="AC82" s="120"/>
      <c r="AD82" s="120"/>
      <c r="AE82" s="120"/>
      <c r="AF82" s="120"/>
    </row>
    <row r="83" spans="1:32" s="121" customFormat="1" ht="40.200000000000003" customHeight="1">
      <c r="A83" s="70">
        <f>MAX(A$14:$A82)+1</f>
        <v>61</v>
      </c>
      <c r="B83" s="77" t="s">
        <v>681</v>
      </c>
      <c r="C83" s="129" t="s">
        <v>632</v>
      </c>
      <c r="D83" s="78" t="s">
        <v>84</v>
      </c>
      <c r="E83" s="78" t="s">
        <v>84</v>
      </c>
      <c r="F83" s="130" t="s">
        <v>352</v>
      </c>
      <c r="G83" s="78" t="s">
        <v>682</v>
      </c>
      <c r="H83" s="138" t="s">
        <v>680</v>
      </c>
      <c r="I83" s="78" t="s">
        <v>612</v>
      </c>
      <c r="J83" s="131"/>
      <c r="K83" s="131">
        <v>70000</v>
      </c>
      <c r="L83" s="111"/>
      <c r="M83" s="131">
        <v>70000</v>
      </c>
      <c r="N83" s="136"/>
      <c r="O83" s="136"/>
      <c r="P83" s="136"/>
      <c r="Q83" s="136"/>
      <c r="R83" s="136"/>
      <c r="S83" s="131">
        <v>70000</v>
      </c>
      <c r="T83" s="111"/>
      <c r="U83" s="111"/>
      <c r="V83" s="137"/>
      <c r="W83" s="55"/>
      <c r="X83" s="55"/>
      <c r="Y83" s="55"/>
      <c r="Z83" s="55"/>
      <c r="AA83" s="119"/>
      <c r="AB83" s="120"/>
      <c r="AC83" s="120"/>
      <c r="AD83" s="120"/>
      <c r="AE83" s="120"/>
      <c r="AF83" s="120"/>
    </row>
    <row r="84" spans="1:32" s="121" customFormat="1" ht="40.200000000000003" customHeight="1">
      <c r="A84" s="70">
        <f>MAX(A$14:$A83)+1</f>
        <v>62</v>
      </c>
      <c r="B84" s="77" t="s">
        <v>683</v>
      </c>
      <c r="C84" s="129" t="s">
        <v>632</v>
      </c>
      <c r="D84" s="78" t="s">
        <v>84</v>
      </c>
      <c r="E84" s="78" t="s">
        <v>84</v>
      </c>
      <c r="F84" s="130" t="s">
        <v>352</v>
      </c>
      <c r="G84" s="78" t="s">
        <v>684</v>
      </c>
      <c r="H84" s="138" t="s">
        <v>665</v>
      </c>
      <c r="I84" s="78" t="s">
        <v>668</v>
      </c>
      <c r="J84" s="131"/>
      <c r="K84" s="131">
        <v>50000</v>
      </c>
      <c r="L84" s="111"/>
      <c r="M84" s="131">
        <v>50000</v>
      </c>
      <c r="N84" s="136"/>
      <c r="O84" s="136"/>
      <c r="P84" s="136"/>
      <c r="Q84" s="136"/>
      <c r="R84" s="136"/>
      <c r="S84" s="131">
        <v>50000</v>
      </c>
      <c r="T84" s="111"/>
      <c r="U84" s="111"/>
      <c r="V84" s="137"/>
      <c r="W84" s="55"/>
      <c r="X84" s="55"/>
      <c r="Y84" s="55"/>
      <c r="Z84" s="55"/>
      <c r="AA84" s="119"/>
      <c r="AB84" s="120"/>
      <c r="AC84" s="120"/>
      <c r="AD84" s="120"/>
      <c r="AE84" s="120"/>
      <c r="AF84" s="120"/>
    </row>
    <row r="85" spans="1:32" s="121" customFormat="1" ht="40.200000000000003" customHeight="1">
      <c r="A85" s="70">
        <f>MAX(A$14:$A84)+1</f>
        <v>63</v>
      </c>
      <c r="B85" s="77" t="s">
        <v>685</v>
      </c>
      <c r="C85" s="129" t="s">
        <v>632</v>
      </c>
      <c r="D85" s="78" t="s">
        <v>84</v>
      </c>
      <c r="E85" s="78" t="s">
        <v>84</v>
      </c>
      <c r="F85" s="130" t="s">
        <v>353</v>
      </c>
      <c r="G85" s="78" t="s">
        <v>686</v>
      </c>
      <c r="H85" s="138" t="s">
        <v>665</v>
      </c>
      <c r="I85" s="78" t="s">
        <v>668</v>
      </c>
      <c r="J85" s="131"/>
      <c r="K85" s="131">
        <v>70000</v>
      </c>
      <c r="L85" s="111"/>
      <c r="M85" s="131">
        <v>70000</v>
      </c>
      <c r="N85" s="136"/>
      <c r="O85" s="136"/>
      <c r="P85" s="136"/>
      <c r="Q85" s="136"/>
      <c r="R85" s="136"/>
      <c r="S85" s="131">
        <v>70000</v>
      </c>
      <c r="T85" s="111"/>
      <c r="U85" s="111"/>
      <c r="V85" s="137"/>
      <c r="W85" s="55"/>
      <c r="X85" s="55"/>
      <c r="Y85" s="55"/>
      <c r="Z85" s="55"/>
      <c r="AA85" s="119"/>
      <c r="AB85" s="120"/>
      <c r="AC85" s="120"/>
      <c r="AD85" s="120"/>
      <c r="AE85" s="120"/>
      <c r="AF85" s="120"/>
    </row>
    <row r="86" spans="1:32" s="121" customFormat="1" ht="40.200000000000003" customHeight="1">
      <c r="A86" s="70">
        <f>MAX(A$14:$A85)+1</f>
        <v>64</v>
      </c>
      <c r="B86" s="77" t="s">
        <v>687</v>
      </c>
      <c r="C86" s="129" t="s">
        <v>632</v>
      </c>
      <c r="D86" s="78" t="s">
        <v>84</v>
      </c>
      <c r="E86" s="78" t="s">
        <v>84</v>
      </c>
      <c r="F86" s="130" t="s">
        <v>353</v>
      </c>
      <c r="G86" s="78" t="s">
        <v>667</v>
      </c>
      <c r="H86" s="138" t="s">
        <v>656</v>
      </c>
      <c r="I86" s="78" t="s">
        <v>668</v>
      </c>
      <c r="J86" s="131"/>
      <c r="K86" s="131">
        <v>35000</v>
      </c>
      <c r="L86" s="111"/>
      <c r="M86" s="131">
        <v>35000</v>
      </c>
      <c r="N86" s="136"/>
      <c r="O86" s="136"/>
      <c r="P86" s="136"/>
      <c r="Q86" s="136"/>
      <c r="R86" s="136"/>
      <c r="S86" s="131">
        <v>35000</v>
      </c>
      <c r="T86" s="111"/>
      <c r="U86" s="111"/>
      <c r="V86" s="137"/>
      <c r="W86" s="55"/>
      <c r="X86" s="55"/>
      <c r="Y86" s="55"/>
      <c r="Z86" s="55"/>
      <c r="AA86" s="119"/>
      <c r="AB86" s="120"/>
      <c r="AC86" s="120"/>
      <c r="AD86" s="120"/>
      <c r="AE86" s="120"/>
      <c r="AF86" s="120"/>
    </row>
    <row r="87" spans="1:32" s="121" customFormat="1" ht="40.200000000000003" customHeight="1">
      <c r="A87" s="70">
        <f>MAX(A$14:$A86)+1</f>
        <v>65</v>
      </c>
      <c r="B87" s="77" t="s">
        <v>688</v>
      </c>
      <c r="C87" s="129" t="s">
        <v>632</v>
      </c>
      <c r="D87" s="78" t="s">
        <v>84</v>
      </c>
      <c r="E87" s="78" t="s">
        <v>84</v>
      </c>
      <c r="F87" s="130" t="s">
        <v>353</v>
      </c>
      <c r="G87" s="78" t="s">
        <v>670</v>
      </c>
      <c r="H87" s="138" t="s">
        <v>656</v>
      </c>
      <c r="I87" s="78" t="s">
        <v>668</v>
      </c>
      <c r="J87" s="131"/>
      <c r="K87" s="131">
        <v>30000</v>
      </c>
      <c r="L87" s="111"/>
      <c r="M87" s="131">
        <v>30000</v>
      </c>
      <c r="N87" s="136"/>
      <c r="O87" s="136"/>
      <c r="P87" s="136"/>
      <c r="Q87" s="136"/>
      <c r="R87" s="136"/>
      <c r="S87" s="131">
        <v>30000</v>
      </c>
      <c r="T87" s="111"/>
      <c r="U87" s="111"/>
      <c r="V87" s="137"/>
      <c r="W87" s="55"/>
      <c r="X87" s="55"/>
      <c r="Y87" s="55"/>
      <c r="Z87" s="55"/>
      <c r="AA87" s="119"/>
      <c r="AB87" s="120"/>
      <c r="AC87" s="120"/>
      <c r="AD87" s="120"/>
      <c r="AE87" s="120"/>
      <c r="AF87" s="120"/>
    </row>
    <row r="88" spans="1:32" s="121" customFormat="1" ht="40.200000000000003" customHeight="1">
      <c r="A88" s="70">
        <f>MAX(A$14:$A87)+1</f>
        <v>66</v>
      </c>
      <c r="B88" s="77" t="s">
        <v>689</v>
      </c>
      <c r="C88" s="129" t="s">
        <v>632</v>
      </c>
      <c r="D88" s="78" t="s">
        <v>84</v>
      </c>
      <c r="E88" s="78" t="s">
        <v>84</v>
      </c>
      <c r="F88" s="130" t="s">
        <v>353</v>
      </c>
      <c r="G88" s="78" t="s">
        <v>690</v>
      </c>
      <c r="H88" s="138" t="s">
        <v>691</v>
      </c>
      <c r="I88" s="78" t="s">
        <v>668</v>
      </c>
      <c r="J88" s="131"/>
      <c r="K88" s="131">
        <v>45000</v>
      </c>
      <c r="L88" s="111"/>
      <c r="M88" s="131">
        <v>45000</v>
      </c>
      <c r="N88" s="136"/>
      <c r="O88" s="136"/>
      <c r="P88" s="136"/>
      <c r="Q88" s="136"/>
      <c r="R88" s="136"/>
      <c r="S88" s="131">
        <v>45000</v>
      </c>
      <c r="T88" s="111"/>
      <c r="U88" s="111"/>
      <c r="V88" s="137"/>
      <c r="W88" s="55"/>
      <c r="X88" s="55"/>
      <c r="Y88" s="55"/>
      <c r="Z88" s="55"/>
      <c r="AA88" s="119"/>
      <c r="AB88" s="120"/>
      <c r="AC88" s="120"/>
      <c r="AD88" s="120"/>
      <c r="AE88" s="120"/>
      <c r="AF88" s="120"/>
    </row>
    <row r="89" spans="1:32" s="121" customFormat="1" ht="40.200000000000003" customHeight="1">
      <c r="A89" s="70">
        <f>MAX(A$14:$A88)+1</f>
        <v>67</v>
      </c>
      <c r="B89" s="77" t="s">
        <v>692</v>
      </c>
      <c r="C89" s="129" t="s">
        <v>632</v>
      </c>
      <c r="D89" s="78" t="s">
        <v>84</v>
      </c>
      <c r="E89" s="78" t="s">
        <v>84</v>
      </c>
      <c r="F89" s="130" t="s">
        <v>353</v>
      </c>
      <c r="G89" s="78" t="s">
        <v>693</v>
      </c>
      <c r="H89" s="138" t="s">
        <v>694</v>
      </c>
      <c r="I89" s="78" t="s">
        <v>668</v>
      </c>
      <c r="J89" s="131"/>
      <c r="K89" s="131">
        <v>30000</v>
      </c>
      <c r="L89" s="111"/>
      <c r="M89" s="131">
        <v>30000</v>
      </c>
      <c r="N89" s="136"/>
      <c r="O89" s="136"/>
      <c r="P89" s="136"/>
      <c r="Q89" s="136"/>
      <c r="R89" s="136"/>
      <c r="S89" s="131">
        <v>30000</v>
      </c>
      <c r="T89" s="111"/>
      <c r="U89" s="111"/>
      <c r="V89" s="137"/>
      <c r="W89" s="55"/>
      <c r="X89" s="55"/>
      <c r="Y89" s="55"/>
      <c r="Z89" s="55"/>
      <c r="AA89" s="119"/>
      <c r="AB89" s="120"/>
      <c r="AC89" s="120"/>
      <c r="AD89" s="120"/>
      <c r="AE89" s="120"/>
      <c r="AF89" s="120"/>
    </row>
    <row r="90" spans="1:32" s="121" customFormat="1" ht="40.200000000000003" customHeight="1">
      <c r="A90" s="70">
        <f>MAX(A$14:$A89)+1</f>
        <v>68</v>
      </c>
      <c r="B90" s="77" t="s">
        <v>695</v>
      </c>
      <c r="C90" s="129" t="s">
        <v>632</v>
      </c>
      <c r="D90" s="78" t="s">
        <v>47</v>
      </c>
      <c r="E90" s="78" t="s">
        <v>84</v>
      </c>
      <c r="F90" s="130" t="s">
        <v>696</v>
      </c>
      <c r="G90" s="78"/>
      <c r="H90" s="138" t="s">
        <v>697</v>
      </c>
      <c r="I90" s="78" t="s">
        <v>462</v>
      </c>
      <c r="J90" s="131"/>
      <c r="K90" s="131">
        <v>88000</v>
      </c>
      <c r="L90" s="111"/>
      <c r="M90" s="131">
        <v>88000</v>
      </c>
      <c r="N90" s="136"/>
      <c r="O90" s="136"/>
      <c r="P90" s="136"/>
      <c r="Q90" s="136"/>
      <c r="R90" s="136"/>
      <c r="S90" s="131">
        <v>88000</v>
      </c>
      <c r="T90" s="111">
        <v>26400</v>
      </c>
      <c r="U90" s="111">
        <v>26400</v>
      </c>
      <c r="V90" s="137"/>
      <c r="W90" s="55"/>
      <c r="X90" s="55"/>
      <c r="Y90" s="55"/>
      <c r="Z90" s="55"/>
      <c r="AA90" s="119"/>
      <c r="AB90" s="120"/>
      <c r="AC90" s="120"/>
      <c r="AD90" s="120"/>
      <c r="AE90" s="120"/>
      <c r="AF90" s="120"/>
    </row>
    <row r="91" spans="1:32" s="121" customFormat="1" ht="40.200000000000003" customHeight="1">
      <c r="A91" s="70">
        <f>MAX(A$14:$A90)+1</f>
        <v>69</v>
      </c>
      <c r="B91" s="77" t="s">
        <v>698</v>
      </c>
      <c r="C91" s="129" t="s">
        <v>632</v>
      </c>
      <c r="D91" s="78" t="s">
        <v>84</v>
      </c>
      <c r="E91" s="78" t="s">
        <v>84</v>
      </c>
      <c r="F91" s="130" t="s">
        <v>699</v>
      </c>
      <c r="G91" s="78" t="s">
        <v>700</v>
      </c>
      <c r="H91" s="138" t="s">
        <v>701</v>
      </c>
      <c r="I91" s="78" t="s">
        <v>568</v>
      </c>
      <c r="J91" s="131"/>
      <c r="K91" s="131">
        <v>65774</v>
      </c>
      <c r="L91" s="111"/>
      <c r="M91" s="131">
        <v>65774</v>
      </c>
      <c r="N91" s="136"/>
      <c r="O91" s="136"/>
      <c r="P91" s="136"/>
      <c r="Q91" s="136"/>
      <c r="R91" s="136"/>
      <c r="S91" s="131">
        <v>65774</v>
      </c>
      <c r="T91" s="111">
        <v>19732.2</v>
      </c>
      <c r="U91" s="111">
        <v>19732.2</v>
      </c>
      <c r="V91" s="137"/>
      <c r="W91" s="55"/>
      <c r="X91" s="55"/>
      <c r="Y91" s="55"/>
      <c r="Z91" s="55"/>
      <c r="AA91" s="119"/>
      <c r="AB91" s="120"/>
      <c r="AC91" s="120"/>
      <c r="AD91" s="120"/>
      <c r="AE91" s="120"/>
      <c r="AF91" s="120"/>
    </row>
    <row r="92" spans="1:32" s="121" customFormat="1" ht="40.200000000000003" customHeight="1">
      <c r="A92" s="70">
        <f>MAX(A$14:$A91)+1</f>
        <v>70</v>
      </c>
      <c r="B92" s="77" t="s">
        <v>702</v>
      </c>
      <c r="C92" s="129" t="s">
        <v>632</v>
      </c>
      <c r="D92" s="78" t="s">
        <v>47</v>
      </c>
      <c r="E92" s="78" t="s">
        <v>84</v>
      </c>
      <c r="F92" s="130" t="s">
        <v>703</v>
      </c>
      <c r="G92" s="78"/>
      <c r="H92" s="138" t="s">
        <v>704</v>
      </c>
      <c r="I92" s="78" t="s">
        <v>462</v>
      </c>
      <c r="J92" s="131"/>
      <c r="K92" s="131">
        <v>80000</v>
      </c>
      <c r="L92" s="111"/>
      <c r="M92" s="131">
        <v>80000</v>
      </c>
      <c r="N92" s="136"/>
      <c r="O92" s="136"/>
      <c r="P92" s="136"/>
      <c r="Q92" s="136"/>
      <c r="R92" s="136"/>
      <c r="S92" s="131">
        <v>80000</v>
      </c>
      <c r="T92" s="111">
        <v>24000</v>
      </c>
      <c r="U92" s="111">
        <v>24000</v>
      </c>
      <c r="V92" s="137"/>
      <c r="W92" s="55"/>
      <c r="X92" s="55"/>
      <c r="Y92" s="55"/>
      <c r="Z92" s="55"/>
      <c r="AA92" s="119"/>
      <c r="AB92" s="120"/>
      <c r="AC92" s="120"/>
      <c r="AD92" s="120"/>
      <c r="AE92" s="120"/>
      <c r="AF92" s="120"/>
    </row>
    <row r="93" spans="1:32" s="121" customFormat="1" ht="40.200000000000003" customHeight="1">
      <c r="A93" s="70">
        <f>MAX(A$14:$A92)+1</f>
        <v>71</v>
      </c>
      <c r="B93" s="77" t="s">
        <v>705</v>
      </c>
      <c r="C93" s="129" t="s">
        <v>632</v>
      </c>
      <c r="D93" s="78" t="s">
        <v>84</v>
      </c>
      <c r="E93" s="78" t="s">
        <v>84</v>
      </c>
      <c r="F93" s="130" t="s">
        <v>699</v>
      </c>
      <c r="G93" s="78" t="s">
        <v>706</v>
      </c>
      <c r="H93" s="138" t="s">
        <v>707</v>
      </c>
      <c r="I93" s="78" t="s">
        <v>612</v>
      </c>
      <c r="J93" s="131"/>
      <c r="K93" s="131">
        <v>15000</v>
      </c>
      <c r="L93" s="111"/>
      <c r="M93" s="131">
        <v>15000</v>
      </c>
      <c r="N93" s="136"/>
      <c r="O93" s="136"/>
      <c r="P93" s="136"/>
      <c r="Q93" s="136"/>
      <c r="R93" s="136"/>
      <c r="S93" s="131">
        <v>15000</v>
      </c>
      <c r="T93" s="111"/>
      <c r="U93" s="111"/>
      <c r="V93" s="137"/>
      <c r="W93" s="55"/>
      <c r="X93" s="55"/>
      <c r="Y93" s="55"/>
      <c r="Z93" s="55"/>
      <c r="AA93" s="119"/>
      <c r="AB93" s="120"/>
      <c r="AC93" s="120"/>
      <c r="AD93" s="120"/>
      <c r="AE93" s="120"/>
      <c r="AF93" s="120"/>
    </row>
    <row r="94" spans="1:32" s="121" customFormat="1" ht="40.200000000000003" customHeight="1">
      <c r="A94" s="70">
        <f>MAX(A$14:$A93)+1</f>
        <v>72</v>
      </c>
      <c r="B94" s="77" t="s">
        <v>708</v>
      </c>
      <c r="C94" s="129" t="s">
        <v>632</v>
      </c>
      <c r="D94" s="78" t="s">
        <v>84</v>
      </c>
      <c r="E94" s="78" t="s">
        <v>84</v>
      </c>
      <c r="F94" s="130" t="s">
        <v>699</v>
      </c>
      <c r="G94" s="78" t="s">
        <v>709</v>
      </c>
      <c r="H94" s="138" t="s">
        <v>710</v>
      </c>
      <c r="I94" s="78" t="s">
        <v>668</v>
      </c>
      <c r="J94" s="131"/>
      <c r="K94" s="131">
        <v>10000</v>
      </c>
      <c r="L94" s="111"/>
      <c r="M94" s="131">
        <v>10000</v>
      </c>
      <c r="N94" s="136"/>
      <c r="O94" s="136"/>
      <c r="P94" s="136"/>
      <c r="Q94" s="136"/>
      <c r="R94" s="136"/>
      <c r="S94" s="131">
        <v>10000</v>
      </c>
      <c r="T94" s="111"/>
      <c r="U94" s="111"/>
      <c r="V94" s="137"/>
      <c r="W94" s="55"/>
      <c r="X94" s="55"/>
      <c r="Y94" s="55"/>
      <c r="Z94" s="55"/>
      <c r="AA94" s="119"/>
      <c r="AB94" s="120"/>
      <c r="AC94" s="120"/>
      <c r="AD94" s="120"/>
      <c r="AE94" s="120"/>
      <c r="AF94" s="120"/>
    </row>
    <row r="95" spans="1:32" s="121" customFormat="1" ht="40.200000000000003" customHeight="1">
      <c r="A95" s="70">
        <f>MAX(A$14:$A94)+1</f>
        <v>73</v>
      </c>
      <c r="B95" s="77" t="s">
        <v>711</v>
      </c>
      <c r="C95" s="129" t="s">
        <v>632</v>
      </c>
      <c r="D95" s="78" t="s">
        <v>84</v>
      </c>
      <c r="E95" s="78"/>
      <c r="F95" s="130" t="s">
        <v>712</v>
      </c>
      <c r="G95" s="78" t="s">
        <v>713</v>
      </c>
      <c r="H95" s="138"/>
      <c r="I95" s="78" t="s">
        <v>568</v>
      </c>
      <c r="J95" s="131"/>
      <c r="K95" s="131">
        <f>L95+M95</f>
        <v>25000</v>
      </c>
      <c r="L95" s="111"/>
      <c r="M95" s="131">
        <v>25000</v>
      </c>
      <c r="N95" s="136"/>
      <c r="O95" s="136"/>
      <c r="P95" s="136"/>
      <c r="Q95" s="136"/>
      <c r="R95" s="136"/>
      <c r="S95" s="131">
        <v>25000</v>
      </c>
      <c r="T95" s="111">
        <v>12300</v>
      </c>
      <c r="U95" s="111">
        <v>12300</v>
      </c>
      <c r="V95" s="137"/>
      <c r="W95" s="55"/>
      <c r="X95" s="55"/>
      <c r="Y95" s="55"/>
      <c r="Z95" s="55"/>
      <c r="AA95" s="119"/>
      <c r="AB95" s="120"/>
      <c r="AC95" s="120"/>
      <c r="AD95" s="120"/>
      <c r="AE95" s="120"/>
      <c r="AF95" s="120"/>
    </row>
    <row r="96" spans="1:32" s="121" customFormat="1" ht="40.200000000000003" customHeight="1">
      <c r="A96" s="70">
        <f>MAX(A$14:$A95)+1</f>
        <v>74</v>
      </c>
      <c r="B96" s="77" t="s">
        <v>714</v>
      </c>
      <c r="C96" s="129" t="s">
        <v>632</v>
      </c>
      <c r="D96" s="78" t="s">
        <v>84</v>
      </c>
      <c r="E96" s="78"/>
      <c r="F96" s="130" t="s">
        <v>715</v>
      </c>
      <c r="G96" s="78" t="s">
        <v>716</v>
      </c>
      <c r="H96" s="138"/>
      <c r="I96" s="78" t="s">
        <v>568</v>
      </c>
      <c r="J96" s="131"/>
      <c r="K96" s="131">
        <f>L96+M96</f>
        <v>0</v>
      </c>
      <c r="L96" s="111"/>
      <c r="M96" s="131">
        <f>N96</f>
        <v>0</v>
      </c>
      <c r="N96" s="136"/>
      <c r="O96" s="136"/>
      <c r="P96" s="136"/>
      <c r="Q96" s="136"/>
      <c r="R96" s="136"/>
      <c r="S96" s="131">
        <v>35000</v>
      </c>
      <c r="T96" s="111">
        <v>12300</v>
      </c>
      <c r="U96" s="111">
        <v>12300</v>
      </c>
      <c r="V96" s="137"/>
      <c r="W96" s="55"/>
      <c r="X96" s="55"/>
      <c r="Y96" s="55"/>
      <c r="Z96" s="55"/>
      <c r="AA96" s="119"/>
      <c r="AB96" s="120"/>
      <c r="AC96" s="120"/>
      <c r="AD96" s="120"/>
      <c r="AE96" s="120"/>
      <c r="AF96" s="120"/>
    </row>
    <row r="97" spans="1:32" s="121" customFormat="1" ht="40.200000000000003" customHeight="1">
      <c r="A97" s="70">
        <f>MAX(A$14:$A96)+1</f>
        <v>75</v>
      </c>
      <c r="B97" s="77" t="s">
        <v>717</v>
      </c>
      <c r="C97" s="129" t="s">
        <v>632</v>
      </c>
      <c r="D97" s="78" t="s">
        <v>84</v>
      </c>
      <c r="E97" s="78"/>
      <c r="F97" s="130" t="s">
        <v>718</v>
      </c>
      <c r="G97" s="78" t="s">
        <v>719</v>
      </c>
      <c r="H97" s="138"/>
      <c r="I97" s="78" t="s">
        <v>568</v>
      </c>
      <c r="J97" s="131"/>
      <c r="K97" s="131">
        <v>100000</v>
      </c>
      <c r="L97" s="111"/>
      <c r="M97" s="131">
        <v>100000</v>
      </c>
      <c r="N97" s="136"/>
      <c r="O97" s="136"/>
      <c r="P97" s="136"/>
      <c r="Q97" s="136"/>
      <c r="R97" s="136"/>
      <c r="S97" s="131">
        <v>100000</v>
      </c>
      <c r="T97" s="111">
        <v>50500</v>
      </c>
      <c r="U97" s="111">
        <v>50500</v>
      </c>
      <c r="V97" s="137"/>
      <c r="W97" s="55"/>
      <c r="X97" s="55"/>
      <c r="Y97" s="55"/>
      <c r="Z97" s="55"/>
      <c r="AA97" s="119"/>
      <c r="AB97" s="120"/>
      <c r="AC97" s="120"/>
      <c r="AD97" s="120"/>
      <c r="AE97" s="120"/>
      <c r="AF97" s="120"/>
    </row>
    <row r="98" spans="1:32" s="121" customFormat="1" ht="40.200000000000003" customHeight="1">
      <c r="A98" s="70">
        <f>MAX(A$14:$A97)+1</f>
        <v>76</v>
      </c>
      <c r="B98" s="77" t="s">
        <v>720</v>
      </c>
      <c r="C98" s="129" t="s">
        <v>632</v>
      </c>
      <c r="D98" s="78" t="s">
        <v>84</v>
      </c>
      <c r="E98" s="78"/>
      <c r="F98" s="130" t="s">
        <v>721</v>
      </c>
      <c r="G98" s="78" t="s">
        <v>722</v>
      </c>
      <c r="H98" s="138"/>
      <c r="I98" s="78" t="s">
        <v>607</v>
      </c>
      <c r="J98" s="131"/>
      <c r="K98" s="131">
        <v>30000</v>
      </c>
      <c r="L98" s="111"/>
      <c r="M98" s="131">
        <v>30000</v>
      </c>
      <c r="N98" s="136"/>
      <c r="O98" s="136"/>
      <c r="P98" s="136"/>
      <c r="Q98" s="136"/>
      <c r="R98" s="136"/>
      <c r="S98" s="131">
        <v>30000</v>
      </c>
      <c r="T98" s="111">
        <v>25400</v>
      </c>
      <c r="U98" s="111">
        <v>25400</v>
      </c>
      <c r="V98" s="137"/>
      <c r="W98" s="55"/>
      <c r="X98" s="55"/>
      <c r="Y98" s="55"/>
      <c r="Z98" s="55"/>
      <c r="AA98" s="119"/>
      <c r="AB98" s="120"/>
      <c r="AC98" s="120"/>
      <c r="AD98" s="120"/>
      <c r="AE98" s="120"/>
      <c r="AF98" s="120"/>
    </row>
    <row r="99" spans="1:32" s="121" customFormat="1" ht="40.200000000000003" customHeight="1">
      <c r="A99" s="70">
        <f>MAX(A$14:$A98)+1</f>
        <v>77</v>
      </c>
      <c r="B99" s="77" t="s">
        <v>723</v>
      </c>
      <c r="C99" s="129" t="s">
        <v>632</v>
      </c>
      <c r="D99" s="78" t="s">
        <v>84</v>
      </c>
      <c r="E99" s="78"/>
      <c r="F99" s="130" t="s">
        <v>718</v>
      </c>
      <c r="G99" s="78" t="s">
        <v>724</v>
      </c>
      <c r="H99" s="138"/>
      <c r="I99" s="78" t="s">
        <v>607</v>
      </c>
      <c r="J99" s="131"/>
      <c r="K99" s="131">
        <v>30000</v>
      </c>
      <c r="L99" s="111"/>
      <c r="M99" s="131">
        <v>30000</v>
      </c>
      <c r="N99" s="136"/>
      <c r="O99" s="136"/>
      <c r="P99" s="136"/>
      <c r="Q99" s="136"/>
      <c r="R99" s="136"/>
      <c r="S99" s="131">
        <v>30000</v>
      </c>
      <c r="T99" s="111">
        <v>15300</v>
      </c>
      <c r="U99" s="111">
        <v>15300</v>
      </c>
      <c r="V99" s="137"/>
      <c r="W99" s="55"/>
      <c r="X99" s="55"/>
      <c r="Y99" s="55"/>
      <c r="Z99" s="55"/>
      <c r="AA99" s="119"/>
      <c r="AB99" s="120"/>
      <c r="AC99" s="120"/>
      <c r="AD99" s="120"/>
      <c r="AE99" s="120"/>
      <c r="AF99" s="120"/>
    </row>
    <row r="100" spans="1:32" s="121" customFormat="1" ht="40.200000000000003" customHeight="1">
      <c r="A100" s="70">
        <f>MAX(A$14:$A99)+1</f>
        <v>78</v>
      </c>
      <c r="B100" s="77" t="s">
        <v>725</v>
      </c>
      <c r="C100" s="129" t="s">
        <v>632</v>
      </c>
      <c r="D100" s="78" t="s">
        <v>84</v>
      </c>
      <c r="E100" s="78"/>
      <c r="F100" s="130" t="s">
        <v>726</v>
      </c>
      <c r="G100" s="78" t="s">
        <v>727</v>
      </c>
      <c r="H100" s="138"/>
      <c r="I100" s="78" t="s">
        <v>728</v>
      </c>
      <c r="J100" s="131"/>
      <c r="K100" s="131">
        <v>30000</v>
      </c>
      <c r="L100" s="111"/>
      <c r="M100" s="131">
        <f>K100</f>
        <v>30000</v>
      </c>
      <c r="N100" s="136"/>
      <c r="O100" s="136"/>
      <c r="P100" s="136"/>
      <c r="Q100" s="136"/>
      <c r="R100" s="136"/>
      <c r="S100" s="131">
        <v>30000</v>
      </c>
      <c r="T100" s="111">
        <v>300</v>
      </c>
      <c r="U100" s="111">
        <v>300</v>
      </c>
      <c r="V100" s="137"/>
      <c r="W100" s="55"/>
      <c r="X100" s="55"/>
      <c r="Y100" s="55"/>
      <c r="Z100" s="55"/>
      <c r="AA100" s="119"/>
      <c r="AB100" s="120"/>
      <c r="AC100" s="120"/>
      <c r="AD100" s="120"/>
      <c r="AE100" s="120"/>
      <c r="AF100" s="120"/>
    </row>
    <row r="101" spans="1:32" s="121" customFormat="1" ht="40.200000000000003" customHeight="1">
      <c r="A101" s="70">
        <f>MAX(A$14:$A100)+1</f>
        <v>79</v>
      </c>
      <c r="B101" s="77" t="s">
        <v>729</v>
      </c>
      <c r="C101" s="129" t="s">
        <v>632</v>
      </c>
      <c r="D101" s="78" t="s">
        <v>84</v>
      </c>
      <c r="E101" s="78"/>
      <c r="F101" s="130" t="s">
        <v>718</v>
      </c>
      <c r="G101" s="78" t="s">
        <v>730</v>
      </c>
      <c r="H101" s="138"/>
      <c r="I101" s="78" t="s">
        <v>612</v>
      </c>
      <c r="J101" s="131"/>
      <c r="K101" s="131">
        <v>50000</v>
      </c>
      <c r="L101" s="111"/>
      <c r="M101" s="131">
        <v>50000</v>
      </c>
      <c r="N101" s="136"/>
      <c r="O101" s="136"/>
      <c r="P101" s="136"/>
      <c r="Q101" s="136"/>
      <c r="R101" s="136"/>
      <c r="S101" s="131">
        <v>50000</v>
      </c>
      <c r="T101" s="111">
        <v>10500</v>
      </c>
      <c r="U101" s="111">
        <v>10500</v>
      </c>
      <c r="V101" s="137"/>
      <c r="W101" s="55"/>
      <c r="X101" s="55"/>
      <c r="Y101" s="55"/>
      <c r="Z101" s="55"/>
      <c r="AA101" s="119"/>
      <c r="AB101" s="120"/>
      <c r="AC101" s="120"/>
      <c r="AD101" s="120"/>
      <c r="AE101" s="120"/>
      <c r="AF101" s="120"/>
    </row>
    <row r="102" spans="1:32" s="121" customFormat="1" ht="40.200000000000003" customHeight="1">
      <c r="A102" s="70">
        <f>MAX(A$14:$A101)+1</f>
        <v>80</v>
      </c>
      <c r="B102" s="77" t="s">
        <v>731</v>
      </c>
      <c r="C102" s="129" t="s">
        <v>632</v>
      </c>
      <c r="D102" s="78" t="s">
        <v>84</v>
      </c>
      <c r="E102" s="78"/>
      <c r="F102" s="130" t="s">
        <v>718</v>
      </c>
      <c r="G102" s="78" t="s">
        <v>732</v>
      </c>
      <c r="H102" s="138"/>
      <c r="I102" s="78" t="s">
        <v>547</v>
      </c>
      <c r="J102" s="131"/>
      <c r="K102" s="131">
        <v>120000</v>
      </c>
      <c r="L102" s="111"/>
      <c r="M102" s="131">
        <v>120000</v>
      </c>
      <c r="N102" s="136"/>
      <c r="O102" s="136"/>
      <c r="P102" s="136"/>
      <c r="Q102" s="136"/>
      <c r="R102" s="136"/>
      <c r="S102" s="131">
        <v>120000</v>
      </c>
      <c r="T102" s="111">
        <v>100</v>
      </c>
      <c r="U102" s="111">
        <v>100</v>
      </c>
      <c r="V102" s="137"/>
      <c r="W102" s="55"/>
      <c r="X102" s="55"/>
      <c r="Y102" s="55"/>
      <c r="Z102" s="55"/>
      <c r="AA102" s="119"/>
      <c r="AB102" s="120"/>
      <c r="AC102" s="120"/>
      <c r="AD102" s="120"/>
      <c r="AE102" s="120"/>
      <c r="AF102" s="120"/>
    </row>
    <row r="103" spans="1:32" s="121" customFormat="1" ht="40.200000000000003" customHeight="1">
      <c r="A103" s="70">
        <f>MAX(A$14:$A102)+1</f>
        <v>81</v>
      </c>
      <c r="B103" s="77" t="s">
        <v>733</v>
      </c>
      <c r="C103" s="129" t="s">
        <v>632</v>
      </c>
      <c r="D103" s="78" t="s">
        <v>84</v>
      </c>
      <c r="E103" s="78"/>
      <c r="F103" s="130" t="s">
        <v>734</v>
      </c>
      <c r="G103" s="78" t="s">
        <v>735</v>
      </c>
      <c r="H103" s="138"/>
      <c r="I103" s="78" t="s">
        <v>668</v>
      </c>
      <c r="J103" s="131"/>
      <c r="K103" s="131">
        <f>L103+M103</f>
        <v>0</v>
      </c>
      <c r="L103" s="111"/>
      <c r="M103" s="131">
        <f>N103</f>
        <v>0</v>
      </c>
      <c r="N103" s="136"/>
      <c r="O103" s="136"/>
      <c r="P103" s="136"/>
      <c r="Q103" s="136"/>
      <c r="R103" s="136"/>
      <c r="S103" s="131">
        <v>50000</v>
      </c>
      <c r="T103" s="111">
        <v>50</v>
      </c>
      <c r="U103" s="111">
        <v>50</v>
      </c>
      <c r="V103" s="137"/>
      <c r="W103" s="55"/>
      <c r="X103" s="55"/>
      <c r="Y103" s="55"/>
      <c r="Z103" s="55"/>
      <c r="AA103" s="119"/>
      <c r="AB103" s="120"/>
      <c r="AC103" s="120"/>
      <c r="AD103" s="120"/>
      <c r="AE103" s="120"/>
      <c r="AF103" s="120"/>
    </row>
    <row r="104" spans="1:32" s="121" customFormat="1" ht="40.200000000000003" customHeight="1">
      <c r="A104" s="70">
        <f>MAX(A$14:$A103)+1</f>
        <v>82</v>
      </c>
      <c r="B104" s="77" t="s">
        <v>736</v>
      </c>
      <c r="C104" s="129" t="s">
        <v>632</v>
      </c>
      <c r="D104" s="78" t="s">
        <v>84</v>
      </c>
      <c r="E104" s="78"/>
      <c r="F104" s="130" t="s">
        <v>721</v>
      </c>
      <c r="G104" s="78" t="s">
        <v>737</v>
      </c>
      <c r="H104" s="138"/>
      <c r="I104" s="78" t="s">
        <v>738</v>
      </c>
      <c r="J104" s="131"/>
      <c r="K104" s="131">
        <v>8000</v>
      </c>
      <c r="L104" s="111"/>
      <c r="M104" s="131">
        <f>K104</f>
        <v>8000</v>
      </c>
      <c r="N104" s="136"/>
      <c r="O104" s="136"/>
      <c r="P104" s="136"/>
      <c r="Q104" s="136"/>
      <c r="R104" s="136"/>
      <c r="S104" s="131">
        <v>8000</v>
      </c>
      <c r="T104" s="111">
        <v>50</v>
      </c>
      <c r="U104" s="111">
        <v>50</v>
      </c>
      <c r="V104" s="137"/>
      <c r="W104" s="55"/>
      <c r="X104" s="55"/>
      <c r="Y104" s="55"/>
      <c r="Z104" s="55"/>
      <c r="AA104" s="119"/>
      <c r="AB104" s="120"/>
      <c r="AC104" s="120"/>
      <c r="AD104" s="120"/>
      <c r="AE104" s="120"/>
      <c r="AF104" s="120"/>
    </row>
    <row r="105" spans="1:32" s="121" customFormat="1" ht="40.200000000000003" customHeight="1">
      <c r="A105" s="70">
        <f>MAX(A$14:$A104)+1</f>
        <v>83</v>
      </c>
      <c r="B105" s="77" t="s">
        <v>739</v>
      </c>
      <c r="C105" s="129" t="s">
        <v>632</v>
      </c>
      <c r="D105" s="78" t="s">
        <v>47</v>
      </c>
      <c r="E105" s="78"/>
      <c r="F105" s="130" t="s">
        <v>325</v>
      </c>
      <c r="G105" s="78" t="s">
        <v>740</v>
      </c>
      <c r="H105" s="138" t="s">
        <v>741</v>
      </c>
      <c r="I105" s="72" t="s">
        <v>416</v>
      </c>
      <c r="J105" s="131"/>
      <c r="K105" s="131">
        <v>250000</v>
      </c>
      <c r="L105" s="111"/>
      <c r="M105" s="131">
        <v>250000</v>
      </c>
      <c r="N105" s="136"/>
      <c r="O105" s="136"/>
      <c r="P105" s="136"/>
      <c r="Q105" s="136"/>
      <c r="R105" s="136"/>
      <c r="S105" s="131">
        <v>70000</v>
      </c>
      <c r="T105" s="111"/>
      <c r="U105" s="111"/>
      <c r="V105" s="137"/>
      <c r="W105" s="55"/>
      <c r="X105" s="55"/>
      <c r="Y105" s="55"/>
      <c r="Z105" s="55"/>
      <c r="AA105" s="119"/>
      <c r="AB105" s="120"/>
      <c r="AC105" s="120"/>
      <c r="AD105" s="120"/>
      <c r="AE105" s="120"/>
      <c r="AF105" s="120"/>
    </row>
    <row r="106" spans="1:32" s="121" customFormat="1" ht="40.200000000000003" customHeight="1">
      <c r="A106" s="70">
        <f>MAX(A$14:$A105)+1</f>
        <v>84</v>
      </c>
      <c r="B106" s="77" t="s">
        <v>742</v>
      </c>
      <c r="C106" s="129" t="s">
        <v>632</v>
      </c>
      <c r="D106" s="78" t="s">
        <v>47</v>
      </c>
      <c r="E106" s="78"/>
      <c r="F106" s="130" t="s">
        <v>325</v>
      </c>
      <c r="G106" s="78" t="s">
        <v>743</v>
      </c>
      <c r="H106" s="138" t="s">
        <v>741</v>
      </c>
      <c r="I106" s="72" t="s">
        <v>416</v>
      </c>
      <c r="J106" s="131"/>
      <c r="K106" s="131">
        <v>200000</v>
      </c>
      <c r="L106" s="111"/>
      <c r="M106" s="131">
        <v>200000</v>
      </c>
      <c r="N106" s="136"/>
      <c r="O106" s="136"/>
      <c r="P106" s="136"/>
      <c r="Q106" s="136"/>
      <c r="R106" s="136"/>
      <c r="S106" s="131">
        <v>50000</v>
      </c>
      <c r="T106" s="111"/>
      <c r="U106" s="111"/>
      <c r="V106" s="137"/>
      <c r="W106" s="55"/>
      <c r="X106" s="55"/>
      <c r="Y106" s="55"/>
      <c r="Z106" s="55"/>
      <c r="AA106" s="119"/>
      <c r="AB106" s="120"/>
      <c r="AC106" s="120"/>
      <c r="AD106" s="120"/>
      <c r="AE106" s="120"/>
      <c r="AF106" s="120"/>
    </row>
    <row r="107" spans="1:32" s="121" customFormat="1" ht="40.200000000000003" customHeight="1">
      <c r="A107" s="70">
        <f>MAX(A$14:$A106)+1</f>
        <v>85</v>
      </c>
      <c r="B107" s="77" t="s">
        <v>744</v>
      </c>
      <c r="C107" s="129" t="s">
        <v>632</v>
      </c>
      <c r="D107" s="78" t="s">
        <v>84</v>
      </c>
      <c r="E107" s="78"/>
      <c r="F107" s="130" t="s">
        <v>325</v>
      </c>
      <c r="G107" s="78" t="s">
        <v>745</v>
      </c>
      <c r="H107" s="138" t="s">
        <v>741</v>
      </c>
      <c r="I107" s="72" t="s">
        <v>416</v>
      </c>
      <c r="J107" s="131"/>
      <c r="K107" s="131">
        <v>70000</v>
      </c>
      <c r="L107" s="111"/>
      <c r="M107" s="131">
        <v>70000</v>
      </c>
      <c r="N107" s="136"/>
      <c r="O107" s="136"/>
      <c r="P107" s="136"/>
      <c r="Q107" s="136"/>
      <c r="R107" s="136"/>
      <c r="S107" s="131">
        <v>70000</v>
      </c>
      <c r="T107" s="111"/>
      <c r="U107" s="111"/>
      <c r="V107" s="137"/>
      <c r="W107" s="55"/>
      <c r="X107" s="55"/>
      <c r="Y107" s="55"/>
      <c r="Z107" s="55"/>
      <c r="AA107" s="119"/>
      <c r="AB107" s="120"/>
      <c r="AC107" s="120"/>
      <c r="AD107" s="120"/>
      <c r="AE107" s="120"/>
      <c r="AF107" s="120"/>
    </row>
    <row r="108" spans="1:32" s="121" customFormat="1" ht="40.200000000000003" customHeight="1">
      <c r="A108" s="70">
        <f>MAX(A$14:$A107)+1</f>
        <v>86</v>
      </c>
      <c r="B108" s="77" t="s">
        <v>746</v>
      </c>
      <c r="C108" s="129" t="s">
        <v>632</v>
      </c>
      <c r="D108" s="78" t="s">
        <v>47</v>
      </c>
      <c r="E108" s="78"/>
      <c r="F108" s="130" t="s">
        <v>322</v>
      </c>
      <c r="G108" s="78" t="s">
        <v>747</v>
      </c>
      <c r="H108" s="138" t="s">
        <v>741</v>
      </c>
      <c r="I108" s="72" t="s">
        <v>416</v>
      </c>
      <c r="J108" s="131"/>
      <c r="K108" s="131">
        <v>160000</v>
      </c>
      <c r="L108" s="111"/>
      <c r="M108" s="131">
        <v>160000</v>
      </c>
      <c r="N108" s="136"/>
      <c r="O108" s="136"/>
      <c r="P108" s="136"/>
      <c r="Q108" s="136"/>
      <c r="R108" s="136"/>
      <c r="S108" s="131">
        <v>120000</v>
      </c>
      <c r="T108" s="111"/>
      <c r="U108" s="111"/>
      <c r="V108" s="137"/>
      <c r="W108" s="55"/>
      <c r="X108" s="55"/>
      <c r="Y108" s="55"/>
      <c r="Z108" s="55"/>
      <c r="AA108" s="119"/>
      <c r="AB108" s="120"/>
      <c r="AC108" s="120"/>
      <c r="AD108" s="120"/>
      <c r="AE108" s="120"/>
      <c r="AF108" s="120"/>
    </row>
    <row r="109" spans="1:32" s="121" customFormat="1" ht="40.200000000000003" customHeight="1">
      <c r="A109" s="70">
        <f>MAX(A$14:$A108)+1</f>
        <v>87</v>
      </c>
      <c r="B109" s="77" t="s">
        <v>748</v>
      </c>
      <c r="C109" s="129" t="s">
        <v>632</v>
      </c>
      <c r="D109" s="78" t="s">
        <v>47</v>
      </c>
      <c r="E109" s="78"/>
      <c r="F109" s="130" t="s">
        <v>324</v>
      </c>
      <c r="G109" s="78" t="s">
        <v>749</v>
      </c>
      <c r="H109" s="138" t="s">
        <v>741</v>
      </c>
      <c r="I109" s="72" t="s">
        <v>416</v>
      </c>
      <c r="J109" s="131"/>
      <c r="K109" s="131">
        <v>180000</v>
      </c>
      <c r="L109" s="111"/>
      <c r="M109" s="131">
        <v>180000</v>
      </c>
      <c r="N109" s="136"/>
      <c r="O109" s="136"/>
      <c r="P109" s="136"/>
      <c r="Q109" s="136"/>
      <c r="R109" s="136"/>
      <c r="S109" s="131">
        <v>50000</v>
      </c>
      <c r="T109" s="111"/>
      <c r="U109" s="111"/>
      <c r="V109" s="137"/>
      <c r="W109" s="55"/>
      <c r="X109" s="55"/>
      <c r="Y109" s="55"/>
      <c r="Z109" s="55"/>
      <c r="AA109" s="119"/>
      <c r="AB109" s="120"/>
      <c r="AC109" s="120"/>
      <c r="AD109" s="120"/>
      <c r="AE109" s="120"/>
      <c r="AF109" s="120"/>
    </row>
    <row r="110" spans="1:32" s="121" customFormat="1" ht="40.200000000000003" customHeight="1">
      <c r="A110" s="70">
        <f>MAX(A$14:$A109)+1</f>
        <v>88</v>
      </c>
      <c r="B110" s="77" t="s">
        <v>750</v>
      </c>
      <c r="C110" s="129" t="s">
        <v>632</v>
      </c>
      <c r="D110" s="78" t="s">
        <v>84</v>
      </c>
      <c r="E110" s="78"/>
      <c r="F110" s="130" t="s">
        <v>751</v>
      </c>
      <c r="G110" s="78" t="s">
        <v>752</v>
      </c>
      <c r="H110" s="138" t="s">
        <v>753</v>
      </c>
      <c r="I110" s="78" t="s">
        <v>607</v>
      </c>
      <c r="J110" s="131"/>
      <c r="K110" s="131">
        <v>10000</v>
      </c>
      <c r="L110" s="111"/>
      <c r="M110" s="131">
        <v>10000</v>
      </c>
      <c r="N110" s="136"/>
      <c r="O110" s="136"/>
      <c r="P110" s="136"/>
      <c r="Q110" s="136"/>
      <c r="R110" s="136"/>
      <c r="S110" s="131">
        <v>10000</v>
      </c>
      <c r="T110" s="111"/>
      <c r="U110" s="111"/>
      <c r="V110" s="137"/>
      <c r="W110" s="55"/>
      <c r="X110" s="55"/>
      <c r="Y110" s="55"/>
      <c r="Z110" s="55"/>
      <c r="AA110" s="119"/>
      <c r="AB110" s="120"/>
      <c r="AC110" s="120"/>
      <c r="AD110" s="120"/>
      <c r="AE110" s="120"/>
      <c r="AF110" s="120"/>
    </row>
    <row r="111" spans="1:32" s="121" customFormat="1" ht="40.200000000000003" customHeight="1">
      <c r="A111" s="70">
        <f>MAX(A$14:$A110)+1</f>
        <v>89</v>
      </c>
      <c r="B111" s="77" t="s">
        <v>754</v>
      </c>
      <c r="C111" s="129" t="s">
        <v>632</v>
      </c>
      <c r="D111" s="78" t="s">
        <v>84</v>
      </c>
      <c r="E111" s="78"/>
      <c r="F111" s="130" t="s">
        <v>343</v>
      </c>
      <c r="G111" s="78" t="s">
        <v>755</v>
      </c>
      <c r="H111" s="138" t="s">
        <v>756</v>
      </c>
      <c r="I111" s="78" t="s">
        <v>607</v>
      </c>
      <c r="J111" s="131"/>
      <c r="K111" s="131">
        <v>14950</v>
      </c>
      <c r="L111" s="111"/>
      <c r="M111" s="131">
        <v>14950</v>
      </c>
      <c r="N111" s="136"/>
      <c r="O111" s="136"/>
      <c r="P111" s="136"/>
      <c r="Q111" s="136"/>
      <c r="R111" s="136"/>
      <c r="S111" s="131">
        <v>14950</v>
      </c>
      <c r="T111" s="111">
        <v>10400</v>
      </c>
      <c r="U111" s="111">
        <v>10400</v>
      </c>
      <c r="V111" s="137"/>
      <c r="W111" s="55"/>
      <c r="X111" s="55"/>
      <c r="Y111" s="55"/>
      <c r="Z111" s="55"/>
      <c r="AA111" s="119"/>
      <c r="AB111" s="120"/>
      <c r="AC111" s="120"/>
      <c r="AD111" s="120"/>
      <c r="AE111" s="120"/>
      <c r="AF111" s="120"/>
    </row>
    <row r="112" spans="1:32" s="121" customFormat="1" ht="40.200000000000003" customHeight="1">
      <c r="A112" s="70">
        <f>MAX(A$14:$A111)+1</f>
        <v>90</v>
      </c>
      <c r="B112" s="77" t="s">
        <v>757</v>
      </c>
      <c r="C112" s="129" t="s">
        <v>632</v>
      </c>
      <c r="D112" s="78" t="s">
        <v>84</v>
      </c>
      <c r="E112" s="78"/>
      <c r="F112" s="130" t="s">
        <v>341</v>
      </c>
      <c r="G112" s="78" t="s">
        <v>758</v>
      </c>
      <c r="H112" s="138" t="s">
        <v>759</v>
      </c>
      <c r="I112" s="78" t="s">
        <v>568</v>
      </c>
      <c r="J112" s="131"/>
      <c r="K112" s="131">
        <v>19500</v>
      </c>
      <c r="L112" s="111"/>
      <c r="M112" s="131">
        <v>19500</v>
      </c>
      <c r="N112" s="136"/>
      <c r="O112" s="136"/>
      <c r="P112" s="136"/>
      <c r="Q112" s="136"/>
      <c r="R112" s="136"/>
      <c r="S112" s="131">
        <v>19500</v>
      </c>
      <c r="T112" s="111"/>
      <c r="U112" s="111"/>
      <c r="V112" s="137"/>
      <c r="W112" s="55"/>
      <c r="X112" s="55"/>
      <c r="Y112" s="55"/>
      <c r="Z112" s="55"/>
      <c r="AA112" s="119"/>
      <c r="AB112" s="120"/>
      <c r="AC112" s="120"/>
      <c r="AD112" s="120"/>
      <c r="AE112" s="120"/>
      <c r="AF112" s="120"/>
    </row>
    <row r="113" spans="1:32" s="121" customFormat="1" ht="40.200000000000003" customHeight="1">
      <c r="A113" s="70">
        <f>MAX(A$14:$A112)+1</f>
        <v>91</v>
      </c>
      <c r="B113" s="77" t="s">
        <v>760</v>
      </c>
      <c r="C113" s="129" t="s">
        <v>632</v>
      </c>
      <c r="D113" s="78" t="s">
        <v>84</v>
      </c>
      <c r="E113" s="78"/>
      <c r="F113" s="130" t="s">
        <v>341</v>
      </c>
      <c r="G113" s="78" t="s">
        <v>761</v>
      </c>
      <c r="H113" s="138" t="s">
        <v>762</v>
      </c>
      <c r="I113" s="78" t="s">
        <v>568</v>
      </c>
      <c r="J113" s="131"/>
      <c r="K113" s="131">
        <v>19500</v>
      </c>
      <c r="L113" s="111"/>
      <c r="M113" s="131">
        <v>19500</v>
      </c>
      <c r="N113" s="136"/>
      <c r="O113" s="136"/>
      <c r="P113" s="136"/>
      <c r="Q113" s="136"/>
      <c r="R113" s="136"/>
      <c r="S113" s="131">
        <v>19500</v>
      </c>
      <c r="T113" s="111"/>
      <c r="U113" s="111"/>
      <c r="V113" s="137"/>
      <c r="W113" s="55"/>
      <c r="X113" s="55"/>
      <c r="Y113" s="55"/>
      <c r="Z113" s="55"/>
      <c r="AA113" s="119"/>
      <c r="AB113" s="120"/>
      <c r="AC113" s="120"/>
      <c r="AD113" s="120"/>
      <c r="AE113" s="120"/>
      <c r="AF113" s="120"/>
    </row>
    <row r="114" spans="1:32" s="121" customFormat="1" ht="40.200000000000003" customHeight="1">
      <c r="A114" s="70">
        <f>MAX(A$14:$A113)+1</f>
        <v>92</v>
      </c>
      <c r="B114" s="77" t="s">
        <v>763</v>
      </c>
      <c r="C114" s="129" t="s">
        <v>632</v>
      </c>
      <c r="D114" s="78" t="s">
        <v>84</v>
      </c>
      <c r="E114" s="78"/>
      <c r="F114" s="130" t="s">
        <v>751</v>
      </c>
      <c r="G114" s="78" t="s">
        <v>764</v>
      </c>
      <c r="H114" s="138" t="s">
        <v>765</v>
      </c>
      <c r="I114" s="78" t="s">
        <v>607</v>
      </c>
      <c r="J114" s="131"/>
      <c r="K114" s="131">
        <v>50000</v>
      </c>
      <c r="L114" s="111"/>
      <c r="M114" s="131">
        <v>50000</v>
      </c>
      <c r="N114" s="136"/>
      <c r="O114" s="136"/>
      <c r="P114" s="136"/>
      <c r="Q114" s="136"/>
      <c r="R114" s="136"/>
      <c r="S114" s="131">
        <v>50000</v>
      </c>
      <c r="T114" s="111"/>
      <c r="U114" s="111"/>
      <c r="V114" s="137"/>
      <c r="W114" s="55"/>
      <c r="X114" s="55"/>
      <c r="Y114" s="55"/>
      <c r="Z114" s="55"/>
      <c r="AA114" s="119"/>
      <c r="AB114" s="120"/>
      <c r="AC114" s="120"/>
      <c r="AD114" s="120"/>
      <c r="AE114" s="120"/>
      <c r="AF114" s="120"/>
    </row>
    <row r="115" spans="1:32" s="121" customFormat="1" ht="40.200000000000003" customHeight="1">
      <c r="A115" s="70">
        <f>MAX(A$14:$A114)+1</f>
        <v>93</v>
      </c>
      <c r="B115" s="77" t="s">
        <v>766</v>
      </c>
      <c r="C115" s="129" t="s">
        <v>632</v>
      </c>
      <c r="D115" s="78" t="s">
        <v>84</v>
      </c>
      <c r="E115" s="78"/>
      <c r="F115" s="130" t="s">
        <v>342</v>
      </c>
      <c r="G115" s="78" t="s">
        <v>767</v>
      </c>
      <c r="H115" s="138" t="s">
        <v>768</v>
      </c>
      <c r="I115" s="78" t="s">
        <v>738</v>
      </c>
      <c r="J115" s="131"/>
      <c r="K115" s="131">
        <v>10000</v>
      </c>
      <c r="L115" s="111"/>
      <c r="M115" s="131">
        <v>10000</v>
      </c>
      <c r="N115" s="136"/>
      <c r="O115" s="136"/>
      <c r="P115" s="136"/>
      <c r="Q115" s="136"/>
      <c r="R115" s="136"/>
      <c r="S115" s="131">
        <v>10000</v>
      </c>
      <c r="T115" s="111"/>
      <c r="U115" s="111"/>
      <c r="V115" s="137"/>
      <c r="W115" s="55"/>
      <c r="X115" s="55"/>
      <c r="Y115" s="55"/>
      <c r="Z115" s="55"/>
      <c r="AA115" s="119"/>
      <c r="AB115" s="120"/>
      <c r="AC115" s="120"/>
      <c r="AD115" s="120"/>
      <c r="AE115" s="120"/>
      <c r="AF115" s="120"/>
    </row>
    <row r="116" spans="1:32" s="121" customFormat="1" ht="40.200000000000003" customHeight="1">
      <c r="A116" s="70">
        <f>MAX(A$14:$A115)+1</f>
        <v>94</v>
      </c>
      <c r="B116" s="77" t="s">
        <v>769</v>
      </c>
      <c r="C116" s="129" t="s">
        <v>632</v>
      </c>
      <c r="D116" s="78" t="s">
        <v>47</v>
      </c>
      <c r="E116" s="78"/>
      <c r="F116" s="130" t="s">
        <v>770</v>
      </c>
      <c r="G116" s="78" t="s">
        <v>771</v>
      </c>
      <c r="H116" s="138" t="s">
        <v>759</v>
      </c>
      <c r="I116" s="78" t="s">
        <v>547</v>
      </c>
      <c r="J116" s="131"/>
      <c r="K116" s="131">
        <v>500000</v>
      </c>
      <c r="L116" s="111"/>
      <c r="M116" s="131">
        <v>500000</v>
      </c>
      <c r="N116" s="136"/>
      <c r="O116" s="136"/>
      <c r="P116" s="136"/>
      <c r="Q116" s="136"/>
      <c r="R116" s="136"/>
      <c r="S116" s="131">
        <v>400000</v>
      </c>
      <c r="T116" s="111"/>
      <c r="U116" s="111"/>
      <c r="V116" s="137"/>
      <c r="W116" s="55"/>
      <c r="X116" s="55"/>
      <c r="Y116" s="55"/>
      <c r="Z116" s="55"/>
      <c r="AA116" s="119"/>
      <c r="AB116" s="120"/>
      <c r="AC116" s="120"/>
      <c r="AD116" s="120"/>
      <c r="AE116" s="120"/>
      <c r="AF116" s="120"/>
    </row>
    <row r="117" spans="1:32" s="121" customFormat="1" ht="40.200000000000003" customHeight="1">
      <c r="A117" s="70">
        <f>MAX(A$14:$A116)+1</f>
        <v>95</v>
      </c>
      <c r="B117" s="77" t="s">
        <v>772</v>
      </c>
      <c r="C117" s="129" t="s">
        <v>632</v>
      </c>
      <c r="D117" s="78" t="s">
        <v>47</v>
      </c>
      <c r="E117" s="78"/>
      <c r="F117" s="130" t="s">
        <v>344</v>
      </c>
      <c r="G117" s="78" t="s">
        <v>773</v>
      </c>
      <c r="H117" s="138" t="s">
        <v>759</v>
      </c>
      <c r="I117" s="78" t="s">
        <v>547</v>
      </c>
      <c r="J117" s="131"/>
      <c r="K117" s="131">
        <v>665000</v>
      </c>
      <c r="L117" s="111"/>
      <c r="M117" s="131">
        <v>665000</v>
      </c>
      <c r="N117" s="136"/>
      <c r="O117" s="136"/>
      <c r="P117" s="136"/>
      <c r="Q117" s="136"/>
      <c r="R117" s="136"/>
      <c r="S117" s="131">
        <v>500000</v>
      </c>
      <c r="T117" s="111"/>
      <c r="U117" s="111"/>
      <c r="V117" s="137"/>
      <c r="W117" s="55"/>
      <c r="X117" s="55"/>
      <c r="Y117" s="55"/>
      <c r="Z117" s="55"/>
      <c r="AA117" s="119"/>
      <c r="AB117" s="120"/>
      <c r="AC117" s="120"/>
      <c r="AD117" s="120"/>
      <c r="AE117" s="120"/>
      <c r="AF117" s="120"/>
    </row>
    <row r="118" spans="1:32" s="121" customFormat="1" ht="40.200000000000003" customHeight="1">
      <c r="A118" s="70">
        <f>MAX(A$14:$A117)+1</f>
        <v>96</v>
      </c>
      <c r="B118" s="77" t="s">
        <v>774</v>
      </c>
      <c r="C118" s="129" t="s">
        <v>632</v>
      </c>
      <c r="D118" s="78" t="s">
        <v>84</v>
      </c>
      <c r="E118" s="78"/>
      <c r="F118" s="130" t="s">
        <v>344</v>
      </c>
      <c r="G118" s="78" t="s">
        <v>775</v>
      </c>
      <c r="H118" s="138" t="s">
        <v>776</v>
      </c>
      <c r="I118" s="78" t="s">
        <v>728</v>
      </c>
      <c r="J118" s="131"/>
      <c r="K118" s="131">
        <v>20000</v>
      </c>
      <c r="L118" s="111"/>
      <c r="M118" s="131">
        <v>20000</v>
      </c>
      <c r="N118" s="136"/>
      <c r="O118" s="136"/>
      <c r="P118" s="136"/>
      <c r="Q118" s="136"/>
      <c r="R118" s="136"/>
      <c r="S118" s="131">
        <v>20000</v>
      </c>
      <c r="T118" s="111"/>
      <c r="U118" s="111"/>
      <c r="V118" s="137"/>
      <c r="W118" s="55"/>
      <c r="X118" s="55"/>
      <c r="Y118" s="55"/>
      <c r="Z118" s="55"/>
      <c r="AA118" s="119"/>
      <c r="AB118" s="120"/>
      <c r="AC118" s="120"/>
      <c r="AD118" s="120"/>
      <c r="AE118" s="120"/>
      <c r="AF118" s="120"/>
    </row>
    <row r="119" spans="1:32" s="121" customFormat="1" ht="40.200000000000003" customHeight="1">
      <c r="A119" s="70">
        <f>MAX(A$14:$A118)+1</f>
        <v>97</v>
      </c>
      <c r="B119" s="77" t="s">
        <v>777</v>
      </c>
      <c r="C119" s="129" t="s">
        <v>632</v>
      </c>
      <c r="D119" s="78" t="s">
        <v>84</v>
      </c>
      <c r="E119" s="78"/>
      <c r="F119" s="130" t="s">
        <v>343</v>
      </c>
      <c r="G119" s="78" t="s">
        <v>778</v>
      </c>
      <c r="H119" s="138" t="s">
        <v>779</v>
      </c>
      <c r="I119" s="78" t="s">
        <v>416</v>
      </c>
      <c r="J119" s="131"/>
      <c r="K119" s="131">
        <v>100000</v>
      </c>
      <c r="L119" s="111"/>
      <c r="M119" s="131">
        <v>100000</v>
      </c>
      <c r="N119" s="136"/>
      <c r="O119" s="136"/>
      <c r="P119" s="136"/>
      <c r="Q119" s="136"/>
      <c r="R119" s="136"/>
      <c r="S119" s="131">
        <v>90000</v>
      </c>
      <c r="T119" s="111"/>
      <c r="U119" s="111"/>
      <c r="V119" s="137"/>
      <c r="W119" s="55"/>
      <c r="X119" s="55"/>
      <c r="Y119" s="55"/>
      <c r="Z119" s="55"/>
      <c r="AA119" s="119"/>
      <c r="AB119" s="120"/>
      <c r="AC119" s="120"/>
      <c r="AD119" s="120"/>
      <c r="AE119" s="120"/>
      <c r="AF119" s="120"/>
    </row>
    <row r="120" spans="1:32" s="121" customFormat="1" ht="40.200000000000003" customHeight="1">
      <c r="A120" s="70">
        <f>MAX(A$14:$A119)+1</f>
        <v>98</v>
      </c>
      <c r="B120" s="77" t="s">
        <v>780</v>
      </c>
      <c r="C120" s="129" t="s">
        <v>632</v>
      </c>
      <c r="D120" s="78" t="s">
        <v>84</v>
      </c>
      <c r="E120" s="78"/>
      <c r="F120" s="130" t="s">
        <v>343</v>
      </c>
      <c r="G120" s="78" t="s">
        <v>781</v>
      </c>
      <c r="H120" s="138" t="s">
        <v>782</v>
      </c>
      <c r="I120" s="78" t="s">
        <v>568</v>
      </c>
      <c r="J120" s="131"/>
      <c r="K120" s="131">
        <v>50000</v>
      </c>
      <c r="L120" s="111"/>
      <c r="M120" s="131">
        <v>50000</v>
      </c>
      <c r="N120" s="136"/>
      <c r="O120" s="136"/>
      <c r="P120" s="136"/>
      <c r="Q120" s="136"/>
      <c r="R120" s="136"/>
      <c r="S120" s="131">
        <v>50000</v>
      </c>
      <c r="T120" s="111"/>
      <c r="U120" s="111"/>
      <c r="V120" s="137"/>
      <c r="W120" s="55"/>
      <c r="X120" s="55"/>
      <c r="Y120" s="55"/>
      <c r="Z120" s="55"/>
      <c r="AA120" s="119"/>
      <c r="AB120" s="120"/>
      <c r="AC120" s="120"/>
      <c r="AD120" s="120"/>
      <c r="AE120" s="120"/>
      <c r="AF120" s="120"/>
    </row>
    <row r="121" spans="1:32" s="121" customFormat="1" ht="40.200000000000003" customHeight="1">
      <c r="A121" s="70">
        <f>MAX(A$14:$A120)+1</f>
        <v>99</v>
      </c>
      <c r="B121" s="77" t="s">
        <v>783</v>
      </c>
      <c r="C121" s="129" t="s">
        <v>632</v>
      </c>
      <c r="D121" s="78" t="s">
        <v>84</v>
      </c>
      <c r="E121" s="78"/>
      <c r="F121" s="130" t="s">
        <v>784</v>
      </c>
      <c r="G121" s="78" t="s">
        <v>785</v>
      </c>
      <c r="H121" s="138" t="s">
        <v>786</v>
      </c>
      <c r="I121" s="78" t="s">
        <v>728</v>
      </c>
      <c r="J121" s="131"/>
      <c r="K121" s="131">
        <v>50000</v>
      </c>
      <c r="L121" s="111"/>
      <c r="M121" s="131">
        <v>50000</v>
      </c>
      <c r="N121" s="136"/>
      <c r="O121" s="136"/>
      <c r="P121" s="136"/>
      <c r="Q121" s="136"/>
      <c r="R121" s="136"/>
      <c r="S121" s="131">
        <v>50000</v>
      </c>
      <c r="T121" s="111"/>
      <c r="U121" s="111"/>
      <c r="V121" s="137"/>
      <c r="W121" s="55"/>
      <c r="X121" s="55"/>
      <c r="Y121" s="55"/>
      <c r="Z121" s="55"/>
      <c r="AA121" s="119"/>
      <c r="AB121" s="120"/>
      <c r="AC121" s="120"/>
      <c r="AD121" s="120"/>
      <c r="AE121" s="120"/>
      <c r="AF121" s="120"/>
    </row>
    <row r="122" spans="1:32" s="121" customFormat="1" ht="40.200000000000003" customHeight="1">
      <c r="A122" s="70">
        <f>MAX(A$14:$A121)+1</f>
        <v>100</v>
      </c>
      <c r="B122" s="77" t="s">
        <v>787</v>
      </c>
      <c r="C122" s="129" t="s">
        <v>632</v>
      </c>
      <c r="D122" s="78" t="s">
        <v>84</v>
      </c>
      <c r="E122" s="78"/>
      <c r="F122" s="130" t="s">
        <v>788</v>
      </c>
      <c r="G122" s="78" t="s">
        <v>789</v>
      </c>
      <c r="H122" s="138" t="s">
        <v>765</v>
      </c>
      <c r="I122" s="78" t="s">
        <v>568</v>
      </c>
      <c r="J122" s="131"/>
      <c r="K122" s="131">
        <v>40000</v>
      </c>
      <c r="L122" s="111"/>
      <c r="M122" s="131">
        <v>40000</v>
      </c>
      <c r="N122" s="136"/>
      <c r="O122" s="136"/>
      <c r="P122" s="136"/>
      <c r="Q122" s="136"/>
      <c r="R122" s="136"/>
      <c r="S122" s="131">
        <v>40000</v>
      </c>
      <c r="T122" s="111"/>
      <c r="U122" s="111"/>
      <c r="V122" s="137"/>
      <c r="W122" s="55"/>
      <c r="X122" s="55"/>
      <c r="Y122" s="55"/>
      <c r="Z122" s="55"/>
      <c r="AA122" s="119"/>
      <c r="AB122" s="120"/>
      <c r="AC122" s="120"/>
      <c r="AD122" s="120"/>
      <c r="AE122" s="120"/>
      <c r="AF122" s="120"/>
    </row>
    <row r="123" spans="1:32" s="121" customFormat="1" ht="40.200000000000003" customHeight="1">
      <c r="A123" s="70">
        <f>MAX(A$14:$A122)+1</f>
        <v>101</v>
      </c>
      <c r="B123" s="77" t="s">
        <v>790</v>
      </c>
      <c r="C123" s="129" t="s">
        <v>632</v>
      </c>
      <c r="D123" s="78" t="s">
        <v>84</v>
      </c>
      <c r="E123" s="78"/>
      <c r="F123" s="130" t="s">
        <v>791</v>
      </c>
      <c r="G123" s="78" t="s">
        <v>792</v>
      </c>
      <c r="H123" s="138" t="s">
        <v>765</v>
      </c>
      <c r="I123" s="78" t="s">
        <v>607</v>
      </c>
      <c r="J123" s="131"/>
      <c r="K123" s="131">
        <v>30000</v>
      </c>
      <c r="L123" s="111"/>
      <c r="M123" s="131">
        <v>30000</v>
      </c>
      <c r="N123" s="136"/>
      <c r="O123" s="136"/>
      <c r="P123" s="136"/>
      <c r="Q123" s="136"/>
      <c r="R123" s="136"/>
      <c r="S123" s="131">
        <v>30000</v>
      </c>
      <c r="T123" s="111"/>
      <c r="U123" s="111"/>
      <c r="V123" s="137"/>
      <c r="W123" s="55"/>
      <c r="X123" s="55"/>
      <c r="Y123" s="55"/>
      <c r="Z123" s="55"/>
      <c r="AA123" s="119"/>
      <c r="AB123" s="120"/>
      <c r="AC123" s="120"/>
      <c r="AD123" s="120"/>
      <c r="AE123" s="120"/>
      <c r="AF123" s="120"/>
    </row>
    <row r="124" spans="1:32" s="121" customFormat="1" ht="40.200000000000003" customHeight="1">
      <c r="A124" s="70">
        <f>MAX(A$14:$A123)+1</f>
        <v>102</v>
      </c>
      <c r="B124" s="77" t="s">
        <v>793</v>
      </c>
      <c r="C124" s="129" t="s">
        <v>632</v>
      </c>
      <c r="D124" s="78" t="s">
        <v>47</v>
      </c>
      <c r="E124" s="78"/>
      <c r="F124" s="130" t="s">
        <v>788</v>
      </c>
      <c r="G124" s="78" t="s">
        <v>794</v>
      </c>
      <c r="H124" s="138" t="s">
        <v>795</v>
      </c>
      <c r="I124" s="78" t="s">
        <v>547</v>
      </c>
      <c r="J124" s="131"/>
      <c r="K124" s="131">
        <v>150000</v>
      </c>
      <c r="L124" s="111"/>
      <c r="M124" s="131">
        <v>150000</v>
      </c>
      <c r="N124" s="136"/>
      <c r="O124" s="136"/>
      <c r="P124" s="136"/>
      <c r="Q124" s="136"/>
      <c r="R124" s="136"/>
      <c r="S124" s="131">
        <v>150000</v>
      </c>
      <c r="T124" s="111"/>
      <c r="U124" s="111"/>
      <c r="V124" s="137"/>
      <c r="W124" s="55"/>
      <c r="X124" s="55"/>
      <c r="Y124" s="55"/>
      <c r="Z124" s="55"/>
      <c r="AA124" s="119"/>
      <c r="AB124" s="120"/>
      <c r="AC124" s="120"/>
      <c r="AD124" s="120"/>
      <c r="AE124" s="120"/>
      <c r="AF124" s="120"/>
    </row>
    <row r="125" spans="1:32" s="121" customFormat="1" ht="40.200000000000003" customHeight="1">
      <c r="A125" s="70">
        <f>MAX(A$14:$A124)+1</f>
        <v>103</v>
      </c>
      <c r="B125" s="77" t="s">
        <v>796</v>
      </c>
      <c r="C125" s="129" t="s">
        <v>632</v>
      </c>
      <c r="D125" s="78" t="s">
        <v>84</v>
      </c>
      <c r="E125" s="78"/>
      <c r="F125" s="130" t="s">
        <v>343</v>
      </c>
      <c r="G125" s="78" t="s">
        <v>797</v>
      </c>
      <c r="H125" s="138" t="s">
        <v>798</v>
      </c>
      <c r="I125" s="78" t="s">
        <v>568</v>
      </c>
      <c r="J125" s="131"/>
      <c r="K125" s="131">
        <v>45000</v>
      </c>
      <c r="L125" s="111"/>
      <c r="M125" s="131">
        <v>45000</v>
      </c>
      <c r="N125" s="136"/>
      <c r="O125" s="136"/>
      <c r="P125" s="136"/>
      <c r="Q125" s="136"/>
      <c r="R125" s="136"/>
      <c r="S125" s="131">
        <v>45000</v>
      </c>
      <c r="T125" s="111"/>
      <c r="U125" s="111"/>
      <c r="V125" s="137"/>
      <c r="W125" s="55"/>
      <c r="X125" s="55"/>
      <c r="Y125" s="55"/>
      <c r="Z125" s="55"/>
      <c r="AA125" s="119"/>
      <c r="AB125" s="120"/>
      <c r="AC125" s="120"/>
      <c r="AD125" s="120"/>
      <c r="AE125" s="120"/>
      <c r="AF125" s="120"/>
    </row>
    <row r="126" spans="1:32" s="121" customFormat="1" ht="40.200000000000003" customHeight="1">
      <c r="A126" s="70">
        <f>MAX(A$14:$A125)+1</f>
        <v>104</v>
      </c>
      <c r="B126" s="77" t="s">
        <v>799</v>
      </c>
      <c r="C126" s="129" t="s">
        <v>632</v>
      </c>
      <c r="D126" s="78" t="s">
        <v>84</v>
      </c>
      <c r="E126" s="78"/>
      <c r="F126" s="130" t="s">
        <v>344</v>
      </c>
      <c r="G126" s="78" t="s">
        <v>800</v>
      </c>
      <c r="H126" s="138" t="s">
        <v>801</v>
      </c>
      <c r="I126" s="78" t="s">
        <v>668</v>
      </c>
      <c r="J126" s="131"/>
      <c r="K126" s="131">
        <v>200000</v>
      </c>
      <c r="L126" s="111"/>
      <c r="M126" s="131">
        <v>200000</v>
      </c>
      <c r="N126" s="136"/>
      <c r="O126" s="136"/>
      <c r="P126" s="136"/>
      <c r="Q126" s="136"/>
      <c r="R126" s="136"/>
      <c r="S126" s="131">
        <v>200000</v>
      </c>
      <c r="T126" s="111"/>
      <c r="U126" s="111"/>
      <c r="V126" s="137"/>
      <c r="W126" s="55"/>
      <c r="X126" s="55"/>
      <c r="Y126" s="55"/>
      <c r="Z126" s="55"/>
      <c r="AA126" s="119"/>
      <c r="AB126" s="120"/>
      <c r="AC126" s="120"/>
      <c r="AD126" s="120"/>
      <c r="AE126" s="120"/>
      <c r="AF126" s="120"/>
    </row>
    <row r="127" spans="1:32" s="121" customFormat="1" ht="40.200000000000003" customHeight="1">
      <c r="A127" s="70">
        <f>MAX(A$14:$A126)+1</f>
        <v>105</v>
      </c>
      <c r="B127" s="77" t="s">
        <v>802</v>
      </c>
      <c r="C127" s="129" t="s">
        <v>632</v>
      </c>
      <c r="D127" s="78" t="s">
        <v>84</v>
      </c>
      <c r="E127" s="78"/>
      <c r="F127" s="130" t="s">
        <v>343</v>
      </c>
      <c r="G127" s="78" t="s">
        <v>803</v>
      </c>
      <c r="H127" s="138" t="s">
        <v>804</v>
      </c>
      <c r="I127" s="78" t="s">
        <v>668</v>
      </c>
      <c r="J127" s="131"/>
      <c r="K127" s="131">
        <v>50000</v>
      </c>
      <c r="L127" s="111"/>
      <c r="M127" s="131">
        <v>50000</v>
      </c>
      <c r="N127" s="136"/>
      <c r="O127" s="136"/>
      <c r="P127" s="136"/>
      <c r="Q127" s="136"/>
      <c r="R127" s="136"/>
      <c r="S127" s="131">
        <v>50000</v>
      </c>
      <c r="T127" s="111"/>
      <c r="U127" s="111"/>
      <c r="V127" s="137"/>
      <c r="W127" s="55"/>
      <c r="X127" s="55"/>
      <c r="Y127" s="55"/>
      <c r="Z127" s="55"/>
      <c r="AA127" s="119"/>
      <c r="AB127" s="120"/>
      <c r="AC127" s="120"/>
      <c r="AD127" s="120"/>
      <c r="AE127" s="120"/>
      <c r="AF127" s="120"/>
    </row>
    <row r="128" spans="1:32" s="121" customFormat="1" ht="40.200000000000003" customHeight="1">
      <c r="A128" s="70">
        <f>MAX(A$14:$A127)+1</f>
        <v>106</v>
      </c>
      <c r="B128" s="77" t="s">
        <v>805</v>
      </c>
      <c r="C128" s="129" t="s">
        <v>632</v>
      </c>
      <c r="D128" s="78" t="s">
        <v>84</v>
      </c>
      <c r="E128" s="78"/>
      <c r="F128" s="130" t="s">
        <v>343</v>
      </c>
      <c r="G128" s="78" t="s">
        <v>806</v>
      </c>
      <c r="H128" s="138" t="s">
        <v>804</v>
      </c>
      <c r="I128" s="78" t="s">
        <v>668</v>
      </c>
      <c r="J128" s="131"/>
      <c r="K128" s="131">
        <v>25000</v>
      </c>
      <c r="L128" s="111"/>
      <c r="M128" s="131">
        <v>25000</v>
      </c>
      <c r="N128" s="136"/>
      <c r="O128" s="136"/>
      <c r="P128" s="136"/>
      <c r="Q128" s="136"/>
      <c r="R128" s="136"/>
      <c r="S128" s="131">
        <v>25000</v>
      </c>
      <c r="T128" s="111"/>
      <c r="U128" s="111"/>
      <c r="V128" s="137"/>
      <c r="W128" s="55"/>
      <c r="X128" s="55"/>
      <c r="Y128" s="55"/>
      <c r="Z128" s="55"/>
      <c r="AA128" s="119"/>
      <c r="AB128" s="120"/>
      <c r="AC128" s="120"/>
      <c r="AD128" s="120"/>
      <c r="AE128" s="120"/>
      <c r="AF128" s="120"/>
    </row>
    <row r="129" spans="1:32" s="121" customFormat="1" ht="40.200000000000003" customHeight="1">
      <c r="A129" s="70">
        <f>MAX(A$14:$A128)+1</f>
        <v>107</v>
      </c>
      <c r="B129" s="77" t="s">
        <v>807</v>
      </c>
      <c r="C129" s="129" t="s">
        <v>632</v>
      </c>
      <c r="D129" s="78" t="s">
        <v>84</v>
      </c>
      <c r="E129" s="78"/>
      <c r="F129" s="130" t="s">
        <v>344</v>
      </c>
      <c r="G129" s="78" t="s">
        <v>808</v>
      </c>
      <c r="H129" s="138" t="s">
        <v>765</v>
      </c>
      <c r="I129" s="78" t="s">
        <v>809</v>
      </c>
      <c r="J129" s="131"/>
      <c r="K129" s="131">
        <v>25000</v>
      </c>
      <c r="L129" s="111"/>
      <c r="M129" s="131">
        <v>25000</v>
      </c>
      <c r="N129" s="136"/>
      <c r="O129" s="136"/>
      <c r="P129" s="136"/>
      <c r="Q129" s="136"/>
      <c r="R129" s="136"/>
      <c r="S129" s="131">
        <v>25000</v>
      </c>
      <c r="T129" s="111"/>
      <c r="U129" s="111"/>
      <c r="V129" s="137"/>
      <c r="W129" s="55"/>
      <c r="X129" s="55"/>
      <c r="Y129" s="55"/>
      <c r="Z129" s="55"/>
      <c r="AA129" s="119"/>
      <c r="AB129" s="120"/>
      <c r="AC129" s="120"/>
      <c r="AD129" s="120"/>
      <c r="AE129" s="120"/>
      <c r="AF129" s="120"/>
    </row>
    <row r="130" spans="1:32" s="121" customFormat="1" ht="40.200000000000003" customHeight="1">
      <c r="A130" s="70">
        <f>MAX(A$14:$A129)+1</f>
        <v>108</v>
      </c>
      <c r="B130" s="77" t="s">
        <v>810</v>
      </c>
      <c r="C130" s="129" t="s">
        <v>632</v>
      </c>
      <c r="D130" s="78" t="s">
        <v>47</v>
      </c>
      <c r="E130" s="78"/>
      <c r="F130" s="130" t="s">
        <v>344</v>
      </c>
      <c r="G130" s="78" t="s">
        <v>811</v>
      </c>
      <c r="H130" s="138" t="s">
        <v>795</v>
      </c>
      <c r="I130" s="78" t="s">
        <v>668</v>
      </c>
      <c r="J130" s="131"/>
      <c r="K130" s="131">
        <v>300000</v>
      </c>
      <c r="L130" s="111"/>
      <c r="M130" s="131">
        <v>300000</v>
      </c>
      <c r="N130" s="136"/>
      <c r="O130" s="136"/>
      <c r="P130" s="136"/>
      <c r="Q130" s="136"/>
      <c r="R130" s="136"/>
      <c r="S130" s="131">
        <v>250000</v>
      </c>
      <c r="T130" s="111"/>
      <c r="U130" s="111"/>
      <c r="V130" s="137"/>
      <c r="W130" s="55"/>
      <c r="X130" s="55"/>
      <c r="Y130" s="55"/>
      <c r="Z130" s="55"/>
      <c r="AA130" s="119"/>
      <c r="AB130" s="120"/>
      <c r="AC130" s="120"/>
      <c r="AD130" s="120"/>
      <c r="AE130" s="120"/>
      <c r="AF130" s="120"/>
    </row>
    <row r="131" spans="1:32" s="121" customFormat="1" ht="40.200000000000003" customHeight="1">
      <c r="A131" s="70">
        <f>MAX(A$14:$A130)+1</f>
        <v>109</v>
      </c>
      <c r="B131" s="77" t="s">
        <v>812</v>
      </c>
      <c r="C131" s="129" t="s">
        <v>632</v>
      </c>
      <c r="D131" s="78" t="s">
        <v>84</v>
      </c>
      <c r="E131" s="78"/>
      <c r="F131" s="130" t="s">
        <v>342</v>
      </c>
      <c r="G131" s="78" t="s">
        <v>813</v>
      </c>
      <c r="H131" s="138" t="s">
        <v>814</v>
      </c>
      <c r="I131" s="78" t="s">
        <v>668</v>
      </c>
      <c r="J131" s="131"/>
      <c r="K131" s="131">
        <v>40000</v>
      </c>
      <c r="L131" s="111"/>
      <c r="M131" s="131">
        <v>40000</v>
      </c>
      <c r="N131" s="136"/>
      <c r="O131" s="136"/>
      <c r="P131" s="136"/>
      <c r="Q131" s="136"/>
      <c r="R131" s="136"/>
      <c r="S131" s="131">
        <v>40000</v>
      </c>
      <c r="T131" s="111"/>
      <c r="U131" s="111"/>
      <c r="V131" s="137"/>
      <c r="W131" s="55"/>
      <c r="X131" s="55"/>
      <c r="Y131" s="55"/>
      <c r="Z131" s="55"/>
      <c r="AA131" s="119"/>
      <c r="AB131" s="120"/>
      <c r="AC131" s="120"/>
      <c r="AD131" s="120"/>
      <c r="AE131" s="120"/>
      <c r="AF131" s="120"/>
    </row>
    <row r="132" spans="1:32" s="121" customFormat="1" ht="40.200000000000003" customHeight="1">
      <c r="A132" s="70">
        <f>MAX(A$14:$A131)+1</f>
        <v>110</v>
      </c>
      <c r="B132" s="77" t="s">
        <v>815</v>
      </c>
      <c r="C132" s="129" t="s">
        <v>632</v>
      </c>
      <c r="D132" s="78" t="s">
        <v>84</v>
      </c>
      <c r="E132" s="78"/>
      <c r="F132" s="130" t="s">
        <v>343</v>
      </c>
      <c r="G132" s="78" t="s">
        <v>816</v>
      </c>
      <c r="H132" s="138" t="s">
        <v>795</v>
      </c>
      <c r="I132" s="78" t="s">
        <v>809</v>
      </c>
      <c r="J132" s="131"/>
      <c r="K132" s="131">
        <v>19000</v>
      </c>
      <c r="L132" s="111"/>
      <c r="M132" s="131">
        <v>19000</v>
      </c>
      <c r="N132" s="136"/>
      <c r="O132" s="136"/>
      <c r="P132" s="136"/>
      <c r="Q132" s="136"/>
      <c r="R132" s="136"/>
      <c r="S132" s="131">
        <v>19000</v>
      </c>
      <c r="T132" s="111"/>
      <c r="U132" s="111"/>
      <c r="V132" s="137"/>
      <c r="W132" s="55"/>
      <c r="X132" s="55"/>
      <c r="Y132" s="55"/>
      <c r="Z132" s="55"/>
      <c r="AA132" s="119"/>
      <c r="AB132" s="120"/>
      <c r="AC132" s="120"/>
      <c r="AD132" s="120"/>
      <c r="AE132" s="120"/>
      <c r="AF132" s="120"/>
    </row>
    <row r="133" spans="1:32" s="121" customFormat="1" ht="40.200000000000003" customHeight="1">
      <c r="A133" s="70">
        <f>MAX(A$14:$A132)+1</f>
        <v>111</v>
      </c>
      <c r="B133" s="77" t="s">
        <v>817</v>
      </c>
      <c r="C133" s="129" t="s">
        <v>632</v>
      </c>
      <c r="D133" s="78" t="s">
        <v>84</v>
      </c>
      <c r="E133" s="78"/>
      <c r="F133" s="130" t="s">
        <v>341</v>
      </c>
      <c r="G133" s="78" t="s">
        <v>818</v>
      </c>
      <c r="H133" s="138" t="s">
        <v>819</v>
      </c>
      <c r="I133" s="78" t="s">
        <v>668</v>
      </c>
      <c r="J133" s="131"/>
      <c r="K133" s="131">
        <v>60000</v>
      </c>
      <c r="L133" s="111"/>
      <c r="M133" s="131">
        <v>60000</v>
      </c>
      <c r="N133" s="136"/>
      <c r="O133" s="136"/>
      <c r="P133" s="136"/>
      <c r="Q133" s="136"/>
      <c r="R133" s="136"/>
      <c r="S133" s="131">
        <v>60000</v>
      </c>
      <c r="T133" s="111"/>
      <c r="U133" s="111"/>
      <c r="V133" s="137"/>
      <c r="W133" s="55"/>
      <c r="X133" s="55"/>
      <c r="Y133" s="55"/>
      <c r="Z133" s="55"/>
      <c r="AA133" s="119"/>
      <c r="AB133" s="120"/>
      <c r="AC133" s="120"/>
      <c r="AD133" s="120"/>
      <c r="AE133" s="120"/>
      <c r="AF133" s="120"/>
    </row>
    <row r="134" spans="1:32" s="121" customFormat="1" ht="40.200000000000003" customHeight="1">
      <c r="A134" s="70">
        <f>MAX(A$14:$A133)+1</f>
        <v>112</v>
      </c>
      <c r="B134" s="77" t="s">
        <v>820</v>
      </c>
      <c r="C134" s="129" t="s">
        <v>632</v>
      </c>
      <c r="D134" s="78" t="s">
        <v>84</v>
      </c>
      <c r="E134" s="78" t="s">
        <v>84</v>
      </c>
      <c r="F134" s="130" t="s">
        <v>821</v>
      </c>
      <c r="G134" s="78" t="s">
        <v>822</v>
      </c>
      <c r="H134" s="138" t="s">
        <v>823</v>
      </c>
      <c r="I134" s="78">
        <v>2026</v>
      </c>
      <c r="J134" s="131"/>
      <c r="K134" s="131">
        <v>19000</v>
      </c>
      <c r="L134" s="111"/>
      <c r="M134" s="131">
        <f>K134</f>
        <v>19000</v>
      </c>
      <c r="N134" s="136"/>
      <c r="O134" s="136"/>
      <c r="P134" s="136"/>
      <c r="Q134" s="136"/>
      <c r="R134" s="136"/>
      <c r="S134" s="131">
        <v>19000</v>
      </c>
      <c r="T134" s="111">
        <v>19000</v>
      </c>
      <c r="U134" s="111">
        <v>19000</v>
      </c>
      <c r="V134" s="137"/>
      <c r="W134" s="55"/>
      <c r="X134" s="55"/>
      <c r="Y134" s="55"/>
      <c r="Z134" s="55"/>
      <c r="AA134" s="119"/>
      <c r="AB134" s="120"/>
      <c r="AC134" s="120"/>
      <c r="AD134" s="120"/>
      <c r="AE134" s="120"/>
      <c r="AF134" s="120"/>
    </row>
    <row r="135" spans="1:32" s="121" customFormat="1" ht="40.200000000000003" customHeight="1">
      <c r="A135" s="70">
        <f>MAX(A$14:$A134)+1</f>
        <v>113</v>
      </c>
      <c r="B135" s="77" t="s">
        <v>824</v>
      </c>
      <c r="C135" s="129" t="s">
        <v>632</v>
      </c>
      <c r="D135" s="78" t="s">
        <v>84</v>
      </c>
      <c r="E135" s="78" t="s">
        <v>84</v>
      </c>
      <c r="F135" s="130" t="s">
        <v>825</v>
      </c>
      <c r="G135" s="78" t="s">
        <v>826</v>
      </c>
      <c r="H135" s="138" t="s">
        <v>827</v>
      </c>
      <c r="I135" s="78">
        <v>2026</v>
      </c>
      <c r="J135" s="131"/>
      <c r="K135" s="131">
        <v>19000</v>
      </c>
      <c r="L135" s="111"/>
      <c r="M135" s="131">
        <f>K135</f>
        <v>19000</v>
      </c>
      <c r="N135" s="136"/>
      <c r="O135" s="136"/>
      <c r="P135" s="136"/>
      <c r="Q135" s="136"/>
      <c r="R135" s="136"/>
      <c r="S135" s="131">
        <v>19000</v>
      </c>
      <c r="T135" s="111">
        <v>19000</v>
      </c>
      <c r="U135" s="111">
        <v>19000</v>
      </c>
      <c r="V135" s="137"/>
      <c r="W135" s="55"/>
      <c r="X135" s="55"/>
      <c r="Y135" s="55"/>
      <c r="Z135" s="55"/>
      <c r="AA135" s="119"/>
      <c r="AB135" s="120"/>
      <c r="AC135" s="120"/>
      <c r="AD135" s="120"/>
      <c r="AE135" s="120"/>
      <c r="AF135" s="120"/>
    </row>
    <row r="136" spans="1:32" s="121" customFormat="1" ht="40.200000000000003" customHeight="1">
      <c r="A136" s="70">
        <f>MAX(A$14:$A135)+1</f>
        <v>114</v>
      </c>
      <c r="B136" s="77" t="s">
        <v>828</v>
      </c>
      <c r="C136" s="129" t="s">
        <v>632</v>
      </c>
      <c r="D136" s="78" t="s">
        <v>84</v>
      </c>
      <c r="E136" s="78" t="s">
        <v>84</v>
      </c>
      <c r="F136" s="130" t="s">
        <v>327</v>
      </c>
      <c r="G136" s="78" t="s">
        <v>829</v>
      </c>
      <c r="H136" s="138" t="s">
        <v>823</v>
      </c>
      <c r="I136" s="78">
        <v>2026</v>
      </c>
      <c r="J136" s="131"/>
      <c r="K136" s="131">
        <v>17000</v>
      </c>
      <c r="L136" s="111"/>
      <c r="M136" s="131">
        <f>K136</f>
        <v>17000</v>
      </c>
      <c r="N136" s="136"/>
      <c r="O136" s="136"/>
      <c r="P136" s="136"/>
      <c r="Q136" s="136"/>
      <c r="R136" s="136"/>
      <c r="S136" s="131">
        <v>17000</v>
      </c>
      <c r="T136" s="111">
        <v>17000</v>
      </c>
      <c r="U136" s="111">
        <v>17000</v>
      </c>
      <c r="V136" s="137"/>
      <c r="W136" s="55"/>
      <c r="X136" s="55"/>
      <c r="Y136" s="55"/>
      <c r="Z136" s="55"/>
      <c r="AA136" s="119"/>
      <c r="AB136" s="120"/>
      <c r="AC136" s="120"/>
      <c r="AD136" s="120"/>
      <c r="AE136" s="120"/>
      <c r="AF136" s="120"/>
    </row>
    <row r="137" spans="1:32" s="121" customFormat="1" ht="40.200000000000003" customHeight="1">
      <c r="A137" s="70">
        <f>MAX(A$14:$A136)+1</f>
        <v>115</v>
      </c>
      <c r="B137" s="77" t="s">
        <v>830</v>
      </c>
      <c r="C137" s="129" t="s">
        <v>632</v>
      </c>
      <c r="D137" s="78" t="s">
        <v>84</v>
      </c>
      <c r="E137" s="78" t="s">
        <v>84</v>
      </c>
      <c r="F137" s="130" t="s">
        <v>328</v>
      </c>
      <c r="G137" s="78" t="s">
        <v>831</v>
      </c>
      <c r="H137" s="138" t="s">
        <v>832</v>
      </c>
      <c r="I137" s="78" t="s">
        <v>728</v>
      </c>
      <c r="J137" s="131"/>
      <c r="K137" s="131">
        <v>19500</v>
      </c>
      <c r="L137" s="111"/>
      <c r="M137" s="131">
        <v>19500</v>
      </c>
      <c r="N137" s="136"/>
      <c r="O137" s="136"/>
      <c r="P137" s="136"/>
      <c r="Q137" s="136"/>
      <c r="R137" s="136"/>
      <c r="S137" s="131">
        <v>19500</v>
      </c>
      <c r="T137" s="111"/>
      <c r="U137" s="111"/>
      <c r="V137" s="137"/>
      <c r="W137" s="55"/>
      <c r="X137" s="55"/>
      <c r="Y137" s="55"/>
      <c r="Z137" s="55"/>
      <c r="AA137" s="119"/>
      <c r="AB137" s="120"/>
      <c r="AC137" s="120"/>
      <c r="AD137" s="120"/>
      <c r="AE137" s="120"/>
      <c r="AF137" s="120"/>
    </row>
    <row r="138" spans="1:32" s="121" customFormat="1" ht="40.200000000000003" customHeight="1">
      <c r="A138" s="70">
        <f>MAX(A$14:$A137)+1</f>
        <v>116</v>
      </c>
      <c r="B138" s="77" t="s">
        <v>833</v>
      </c>
      <c r="C138" s="129" t="s">
        <v>632</v>
      </c>
      <c r="D138" s="78" t="s">
        <v>84</v>
      </c>
      <c r="E138" s="78" t="s">
        <v>84</v>
      </c>
      <c r="F138" s="130" t="s">
        <v>328</v>
      </c>
      <c r="G138" s="78" t="s">
        <v>834</v>
      </c>
      <c r="H138" s="138" t="s">
        <v>832</v>
      </c>
      <c r="I138" s="78" t="s">
        <v>547</v>
      </c>
      <c r="J138" s="131"/>
      <c r="K138" s="131">
        <v>90000</v>
      </c>
      <c r="L138" s="111"/>
      <c r="M138" s="131">
        <v>90000</v>
      </c>
      <c r="N138" s="136"/>
      <c r="O138" s="136"/>
      <c r="P138" s="136"/>
      <c r="Q138" s="136"/>
      <c r="R138" s="136"/>
      <c r="S138" s="131">
        <v>90000</v>
      </c>
      <c r="T138" s="111"/>
      <c r="U138" s="111"/>
      <c r="V138" s="137"/>
      <c r="W138" s="55"/>
      <c r="X138" s="55"/>
      <c r="Y138" s="55"/>
      <c r="Z138" s="55"/>
      <c r="AA138" s="119"/>
      <c r="AB138" s="120"/>
      <c r="AC138" s="120"/>
      <c r="AD138" s="120"/>
      <c r="AE138" s="120"/>
      <c r="AF138" s="120"/>
    </row>
    <row r="139" spans="1:32" s="121" customFormat="1" ht="40.200000000000003" customHeight="1">
      <c r="A139" s="70">
        <f>MAX(A$14:$A138)+1</f>
        <v>117</v>
      </c>
      <c r="B139" s="77" t="s">
        <v>835</v>
      </c>
      <c r="C139" s="129" t="s">
        <v>632</v>
      </c>
      <c r="D139" s="78" t="s">
        <v>84</v>
      </c>
      <c r="E139" s="78" t="s">
        <v>84</v>
      </c>
      <c r="F139" s="130" t="s">
        <v>821</v>
      </c>
      <c r="G139" s="78" t="s">
        <v>836</v>
      </c>
      <c r="H139" s="138" t="s">
        <v>837</v>
      </c>
      <c r="I139" s="78" t="s">
        <v>728</v>
      </c>
      <c r="J139" s="131"/>
      <c r="K139" s="131">
        <v>19000</v>
      </c>
      <c r="L139" s="111"/>
      <c r="M139" s="131">
        <v>19000</v>
      </c>
      <c r="N139" s="136"/>
      <c r="O139" s="136"/>
      <c r="P139" s="136"/>
      <c r="Q139" s="136"/>
      <c r="R139" s="136"/>
      <c r="S139" s="131">
        <v>19000</v>
      </c>
      <c r="T139" s="111"/>
      <c r="U139" s="111"/>
      <c r="V139" s="137"/>
      <c r="W139" s="55"/>
      <c r="X139" s="55"/>
      <c r="Y139" s="55"/>
      <c r="Z139" s="55"/>
      <c r="AA139" s="119"/>
      <c r="AB139" s="120"/>
      <c r="AC139" s="120"/>
      <c r="AD139" s="120"/>
      <c r="AE139" s="120"/>
      <c r="AF139" s="120"/>
    </row>
    <row r="140" spans="1:32" s="121" customFormat="1" ht="40.200000000000003" customHeight="1">
      <c r="A140" s="70">
        <f>MAX(A$14:$A139)+1</f>
        <v>118</v>
      </c>
      <c r="B140" s="77" t="s">
        <v>838</v>
      </c>
      <c r="C140" s="129" t="s">
        <v>632</v>
      </c>
      <c r="D140" s="78" t="s">
        <v>84</v>
      </c>
      <c r="E140" s="78" t="s">
        <v>84</v>
      </c>
      <c r="F140" s="130" t="s">
        <v>839</v>
      </c>
      <c r="G140" s="78" t="s">
        <v>840</v>
      </c>
      <c r="H140" s="138" t="s">
        <v>823</v>
      </c>
      <c r="I140" s="78" t="s">
        <v>841</v>
      </c>
      <c r="J140" s="131"/>
      <c r="K140" s="131">
        <v>12000</v>
      </c>
      <c r="L140" s="111"/>
      <c r="M140" s="131">
        <v>12000</v>
      </c>
      <c r="N140" s="136"/>
      <c r="O140" s="136"/>
      <c r="P140" s="136"/>
      <c r="Q140" s="136"/>
      <c r="R140" s="136"/>
      <c r="S140" s="131">
        <v>12000</v>
      </c>
      <c r="T140" s="111"/>
      <c r="U140" s="111"/>
      <c r="V140" s="137"/>
      <c r="W140" s="55"/>
      <c r="X140" s="55"/>
      <c r="Y140" s="55"/>
      <c r="Z140" s="55"/>
      <c r="AA140" s="119"/>
      <c r="AB140" s="120"/>
      <c r="AC140" s="120"/>
      <c r="AD140" s="120"/>
      <c r="AE140" s="120"/>
      <c r="AF140" s="120"/>
    </row>
    <row r="141" spans="1:32" s="121" customFormat="1" ht="40.200000000000003" customHeight="1">
      <c r="A141" s="70">
        <f>MAX(A$14:$A140)+1</f>
        <v>119</v>
      </c>
      <c r="B141" s="77" t="s">
        <v>842</v>
      </c>
      <c r="C141" s="129" t="s">
        <v>632</v>
      </c>
      <c r="D141" s="78" t="s">
        <v>84</v>
      </c>
      <c r="E141" s="78" t="s">
        <v>84</v>
      </c>
      <c r="F141" s="130" t="s">
        <v>843</v>
      </c>
      <c r="G141" s="78" t="s">
        <v>844</v>
      </c>
      <c r="H141" s="138" t="s">
        <v>823</v>
      </c>
      <c r="I141" s="78" t="s">
        <v>728</v>
      </c>
      <c r="J141" s="131"/>
      <c r="K141" s="131">
        <v>17000</v>
      </c>
      <c r="L141" s="111"/>
      <c r="M141" s="131">
        <v>17000</v>
      </c>
      <c r="N141" s="136"/>
      <c r="O141" s="136"/>
      <c r="P141" s="136"/>
      <c r="Q141" s="136"/>
      <c r="R141" s="136"/>
      <c r="S141" s="131">
        <v>17000</v>
      </c>
      <c r="T141" s="111"/>
      <c r="U141" s="111"/>
      <c r="V141" s="137"/>
      <c r="W141" s="55"/>
      <c r="X141" s="55"/>
      <c r="Y141" s="55"/>
      <c r="Z141" s="55"/>
      <c r="AA141" s="119"/>
      <c r="AB141" s="120"/>
      <c r="AC141" s="120"/>
      <c r="AD141" s="120"/>
      <c r="AE141" s="120"/>
      <c r="AF141" s="120"/>
    </row>
    <row r="142" spans="1:32" s="121" customFormat="1" ht="40.200000000000003" customHeight="1">
      <c r="A142" s="70">
        <f>MAX(A$14:$A141)+1</f>
        <v>120</v>
      </c>
      <c r="B142" s="77" t="s">
        <v>845</v>
      </c>
      <c r="C142" s="129" t="s">
        <v>632</v>
      </c>
      <c r="D142" s="78" t="s">
        <v>84</v>
      </c>
      <c r="E142" s="78" t="s">
        <v>84</v>
      </c>
      <c r="F142" s="130" t="s">
        <v>327</v>
      </c>
      <c r="G142" s="78" t="s">
        <v>846</v>
      </c>
      <c r="H142" s="138" t="s">
        <v>847</v>
      </c>
      <c r="I142" s="78" t="s">
        <v>547</v>
      </c>
      <c r="J142" s="131"/>
      <c r="K142" s="131">
        <v>45000</v>
      </c>
      <c r="L142" s="111"/>
      <c r="M142" s="131">
        <v>45000</v>
      </c>
      <c r="N142" s="136"/>
      <c r="O142" s="136"/>
      <c r="P142" s="136"/>
      <c r="Q142" s="136"/>
      <c r="R142" s="136"/>
      <c r="S142" s="131">
        <v>45000</v>
      </c>
      <c r="T142" s="111"/>
      <c r="U142" s="111"/>
      <c r="V142" s="137"/>
      <c r="W142" s="55"/>
      <c r="X142" s="55"/>
      <c r="Y142" s="55"/>
      <c r="Z142" s="55"/>
      <c r="AA142" s="119"/>
      <c r="AB142" s="120"/>
      <c r="AC142" s="120"/>
      <c r="AD142" s="120"/>
      <c r="AE142" s="120"/>
      <c r="AF142" s="120"/>
    </row>
    <row r="143" spans="1:32" s="121" customFormat="1" ht="40.200000000000003" customHeight="1">
      <c r="A143" s="70">
        <f>MAX(A$14:$A142)+1</f>
        <v>121</v>
      </c>
      <c r="B143" s="77" t="s">
        <v>848</v>
      </c>
      <c r="C143" s="129" t="s">
        <v>632</v>
      </c>
      <c r="D143" s="78" t="s">
        <v>84</v>
      </c>
      <c r="E143" s="78" t="s">
        <v>84</v>
      </c>
      <c r="F143" s="130" t="s">
        <v>328</v>
      </c>
      <c r="G143" s="78" t="s">
        <v>849</v>
      </c>
      <c r="H143" s="138" t="s">
        <v>850</v>
      </c>
      <c r="I143" s="78" t="s">
        <v>547</v>
      </c>
      <c r="J143" s="131"/>
      <c r="K143" s="131">
        <v>37000</v>
      </c>
      <c r="L143" s="111"/>
      <c r="M143" s="131">
        <v>37000</v>
      </c>
      <c r="N143" s="136"/>
      <c r="O143" s="136"/>
      <c r="P143" s="136"/>
      <c r="Q143" s="136"/>
      <c r="R143" s="136"/>
      <c r="S143" s="131">
        <v>37000</v>
      </c>
      <c r="T143" s="111"/>
      <c r="U143" s="111"/>
      <c r="V143" s="137"/>
      <c r="W143" s="55"/>
      <c r="X143" s="55"/>
      <c r="Y143" s="55"/>
      <c r="Z143" s="55"/>
      <c r="AA143" s="119"/>
      <c r="AB143" s="120"/>
      <c r="AC143" s="120"/>
      <c r="AD143" s="120"/>
      <c r="AE143" s="120"/>
      <c r="AF143" s="120"/>
    </row>
    <row r="144" spans="1:32" s="120" customFormat="1" ht="40.200000000000003" customHeight="1">
      <c r="A144" s="70">
        <f>MAX(A$14:$A143)+1</f>
        <v>122</v>
      </c>
      <c r="B144" s="139" t="s">
        <v>851</v>
      </c>
      <c r="C144" s="129" t="s">
        <v>632</v>
      </c>
      <c r="D144" s="78" t="s">
        <v>84</v>
      </c>
      <c r="E144" s="140" t="s">
        <v>84</v>
      </c>
      <c r="F144" s="72" t="s">
        <v>852</v>
      </c>
      <c r="G144" s="72" t="s">
        <v>853</v>
      </c>
      <c r="H144" s="78" t="s">
        <v>837</v>
      </c>
      <c r="I144" s="72" t="s">
        <v>728</v>
      </c>
      <c r="J144" s="141"/>
      <c r="K144" s="142">
        <v>18500</v>
      </c>
      <c r="L144" s="142"/>
      <c r="M144" s="142">
        <v>18500</v>
      </c>
      <c r="N144" s="141"/>
      <c r="O144" s="141"/>
      <c r="P144" s="141"/>
      <c r="Q144" s="143"/>
      <c r="R144" s="141"/>
      <c r="S144" s="142">
        <v>18500</v>
      </c>
      <c r="T144" s="142"/>
      <c r="U144" s="142"/>
      <c r="V144" s="137"/>
      <c r="W144" s="55"/>
      <c r="X144" s="55"/>
      <c r="Y144" s="55"/>
      <c r="Z144" s="55"/>
      <c r="AA144" s="119"/>
    </row>
    <row r="145" spans="1:27" s="120" customFormat="1" ht="40.200000000000003" customHeight="1">
      <c r="A145" s="70">
        <f>MAX(A$14:$A144)+1</f>
        <v>123</v>
      </c>
      <c r="B145" s="139" t="s">
        <v>854</v>
      </c>
      <c r="C145" s="140" t="s">
        <v>458</v>
      </c>
      <c r="D145" s="140" t="s">
        <v>84</v>
      </c>
      <c r="E145" s="140" t="s">
        <v>84</v>
      </c>
      <c r="F145" s="72" t="s">
        <v>855</v>
      </c>
      <c r="G145" s="72"/>
      <c r="H145" s="78"/>
      <c r="I145" s="72" t="s">
        <v>416</v>
      </c>
      <c r="J145" s="141"/>
      <c r="K145" s="142">
        <v>60000</v>
      </c>
      <c r="L145" s="142"/>
      <c r="M145" s="142">
        <v>60000</v>
      </c>
      <c r="N145" s="141"/>
      <c r="O145" s="141"/>
      <c r="P145" s="141"/>
      <c r="Q145" s="143"/>
      <c r="R145" s="141"/>
      <c r="S145" s="142">
        <v>60000</v>
      </c>
      <c r="T145" s="142"/>
      <c r="U145" s="142"/>
      <c r="V145" s="137"/>
      <c r="W145" s="55"/>
      <c r="X145" s="55"/>
      <c r="Y145" s="55"/>
      <c r="Z145" s="55"/>
      <c r="AA145" s="119"/>
    </row>
    <row r="146" spans="1:27" s="120" customFormat="1" ht="40.200000000000003" customHeight="1">
      <c r="A146" s="70">
        <f>MAX(A$14:$A145)+1</f>
        <v>124</v>
      </c>
      <c r="B146" s="139" t="s">
        <v>856</v>
      </c>
      <c r="C146" s="140" t="s">
        <v>458</v>
      </c>
      <c r="D146" s="140" t="s">
        <v>84</v>
      </c>
      <c r="E146" s="140" t="s">
        <v>84</v>
      </c>
      <c r="F146" s="72" t="s">
        <v>857</v>
      </c>
      <c r="G146" s="72"/>
      <c r="H146" s="78"/>
      <c r="I146" s="72" t="s">
        <v>416</v>
      </c>
      <c r="J146" s="141"/>
      <c r="K146" s="142">
        <v>35000</v>
      </c>
      <c r="L146" s="142"/>
      <c r="M146" s="142">
        <v>35000</v>
      </c>
      <c r="N146" s="141"/>
      <c r="O146" s="141"/>
      <c r="P146" s="141"/>
      <c r="Q146" s="143"/>
      <c r="R146" s="141"/>
      <c r="S146" s="142">
        <v>35000</v>
      </c>
      <c r="T146" s="142"/>
      <c r="U146" s="142"/>
      <c r="V146" s="137"/>
      <c r="W146" s="55"/>
      <c r="X146" s="55"/>
      <c r="Y146" s="55"/>
      <c r="Z146" s="55"/>
      <c r="AA146" s="119"/>
    </row>
    <row r="147" spans="1:27" s="120" customFormat="1" ht="40.200000000000003" customHeight="1">
      <c r="A147" s="70">
        <f>MAX(A$14:$A146)+1</f>
        <v>125</v>
      </c>
      <c r="B147" s="139" t="s">
        <v>858</v>
      </c>
      <c r="C147" s="140" t="s">
        <v>458</v>
      </c>
      <c r="D147" s="140" t="s">
        <v>47</v>
      </c>
      <c r="E147" s="140" t="s">
        <v>47</v>
      </c>
      <c r="F147" s="72" t="s">
        <v>331</v>
      </c>
      <c r="G147" s="72" t="s">
        <v>859</v>
      </c>
      <c r="H147" s="78" t="s">
        <v>860</v>
      </c>
      <c r="I147" s="72" t="s">
        <v>416</v>
      </c>
      <c r="J147" s="141"/>
      <c r="K147" s="142">
        <v>150000</v>
      </c>
      <c r="L147" s="142"/>
      <c r="M147" s="142">
        <v>150000</v>
      </c>
      <c r="N147" s="141"/>
      <c r="O147" s="141"/>
      <c r="P147" s="141"/>
      <c r="Q147" s="143"/>
      <c r="R147" s="141"/>
      <c r="S147" s="142">
        <v>150000</v>
      </c>
      <c r="T147" s="142"/>
      <c r="U147" s="142"/>
      <c r="V147" s="137"/>
      <c r="W147" s="55"/>
      <c r="X147" s="55"/>
      <c r="Y147" s="55"/>
      <c r="Z147" s="55"/>
      <c r="AA147" s="119"/>
    </row>
    <row r="148" spans="1:27" s="120" customFormat="1" ht="40.200000000000003" customHeight="1">
      <c r="A148" s="70">
        <f>MAX(A$14:$A147)+1</f>
        <v>126</v>
      </c>
      <c r="B148" s="139" t="s">
        <v>861</v>
      </c>
      <c r="C148" s="140" t="s">
        <v>458</v>
      </c>
      <c r="D148" s="140" t="s">
        <v>84</v>
      </c>
      <c r="E148" s="140" t="s">
        <v>84</v>
      </c>
      <c r="F148" s="72" t="s">
        <v>333</v>
      </c>
      <c r="G148" s="72" t="s">
        <v>862</v>
      </c>
      <c r="H148" s="78" t="s">
        <v>863</v>
      </c>
      <c r="I148" s="72" t="s">
        <v>157</v>
      </c>
      <c r="J148" s="141"/>
      <c r="K148" s="142">
        <v>5000</v>
      </c>
      <c r="L148" s="142"/>
      <c r="M148" s="142">
        <v>5000</v>
      </c>
      <c r="N148" s="141"/>
      <c r="O148" s="141"/>
      <c r="P148" s="141"/>
      <c r="Q148" s="143"/>
      <c r="R148" s="141"/>
      <c r="S148" s="142">
        <v>5000</v>
      </c>
      <c r="T148" s="142"/>
      <c r="U148" s="142"/>
      <c r="V148" s="137"/>
      <c r="W148" s="55"/>
      <c r="X148" s="55"/>
      <c r="Y148" s="55"/>
      <c r="Z148" s="55"/>
      <c r="AA148" s="119"/>
    </row>
    <row r="149" spans="1:27" s="120" customFormat="1" ht="40.200000000000003" customHeight="1">
      <c r="A149" s="70">
        <f>MAX(A$14:$A148)+1</f>
        <v>127</v>
      </c>
      <c r="B149" s="139" t="s">
        <v>864</v>
      </c>
      <c r="C149" s="140" t="s">
        <v>458</v>
      </c>
      <c r="D149" s="140"/>
      <c r="E149" s="140" t="s">
        <v>84</v>
      </c>
      <c r="F149" s="72" t="s">
        <v>354</v>
      </c>
      <c r="G149" s="72" t="s">
        <v>865</v>
      </c>
      <c r="H149" s="78" t="s">
        <v>866</v>
      </c>
      <c r="I149" s="72" t="s">
        <v>139</v>
      </c>
      <c r="J149" s="141"/>
      <c r="K149" s="142">
        <v>80000</v>
      </c>
      <c r="L149" s="142"/>
      <c r="M149" s="142">
        <v>80000</v>
      </c>
      <c r="N149" s="141"/>
      <c r="O149" s="141"/>
      <c r="P149" s="141"/>
      <c r="Q149" s="143"/>
      <c r="R149" s="141"/>
      <c r="S149" s="142">
        <v>80000</v>
      </c>
      <c r="T149" s="142">
        <v>30000</v>
      </c>
      <c r="U149" s="142">
        <v>30000</v>
      </c>
      <c r="V149" s="137" t="s">
        <v>867</v>
      </c>
      <c r="W149" s="55"/>
      <c r="X149" s="55"/>
      <c r="Y149" s="55"/>
      <c r="Z149" s="55"/>
      <c r="AA149" s="119"/>
    </row>
    <row r="150" spans="1:27" s="120" customFormat="1" ht="40.200000000000003" customHeight="1">
      <c r="A150" s="70">
        <f>MAX(A$14:$A149)+1</f>
        <v>128</v>
      </c>
      <c r="B150" s="139" t="s">
        <v>868</v>
      </c>
      <c r="C150" s="140" t="s">
        <v>458</v>
      </c>
      <c r="D150" s="140" t="s">
        <v>84</v>
      </c>
      <c r="E150" s="140" t="s">
        <v>84</v>
      </c>
      <c r="F150" s="72" t="s">
        <v>869</v>
      </c>
      <c r="G150" s="72" t="s">
        <v>870</v>
      </c>
      <c r="H150" s="78" t="s">
        <v>871</v>
      </c>
      <c r="I150" s="72" t="s">
        <v>568</v>
      </c>
      <c r="J150" s="141"/>
      <c r="K150" s="142">
        <v>70000</v>
      </c>
      <c r="L150" s="142"/>
      <c r="M150" s="142">
        <v>70000</v>
      </c>
      <c r="N150" s="141"/>
      <c r="O150" s="141"/>
      <c r="P150" s="141"/>
      <c r="Q150" s="143"/>
      <c r="R150" s="141"/>
      <c r="S150" s="142">
        <f>K150</f>
        <v>70000</v>
      </c>
      <c r="T150" s="142"/>
      <c r="U150" s="142"/>
      <c r="V150" s="137"/>
      <c r="W150" s="55"/>
      <c r="X150" s="55"/>
      <c r="Y150" s="55"/>
      <c r="Z150" s="55"/>
      <c r="AA150" s="119"/>
    </row>
    <row r="151" spans="1:27" s="120" customFormat="1" ht="40.200000000000003" customHeight="1">
      <c r="A151" s="70">
        <f>MAX(A$14:$A150)+1</f>
        <v>129</v>
      </c>
      <c r="B151" s="139" t="s">
        <v>872</v>
      </c>
      <c r="C151" s="140" t="s">
        <v>458</v>
      </c>
      <c r="D151" s="140" t="s">
        <v>84</v>
      </c>
      <c r="E151" s="140" t="s">
        <v>84</v>
      </c>
      <c r="F151" s="72" t="s">
        <v>869</v>
      </c>
      <c r="G151" s="72" t="s">
        <v>873</v>
      </c>
      <c r="H151" s="78" t="s">
        <v>874</v>
      </c>
      <c r="I151" s="72" t="s">
        <v>607</v>
      </c>
      <c r="J151" s="141"/>
      <c r="K151" s="142">
        <v>45000</v>
      </c>
      <c r="L151" s="142"/>
      <c r="M151" s="142">
        <v>45000</v>
      </c>
      <c r="N151" s="141"/>
      <c r="O151" s="141"/>
      <c r="P151" s="141"/>
      <c r="Q151" s="143"/>
      <c r="R151" s="141"/>
      <c r="S151" s="142">
        <f>K151</f>
        <v>45000</v>
      </c>
      <c r="T151" s="142"/>
      <c r="U151" s="142"/>
      <c r="V151" s="137"/>
      <c r="W151" s="55"/>
      <c r="X151" s="55"/>
      <c r="Y151" s="55"/>
      <c r="Z151" s="55"/>
      <c r="AA151" s="119"/>
    </row>
    <row r="152" spans="1:27" s="120" customFormat="1" ht="40.200000000000003" customHeight="1">
      <c r="A152" s="70">
        <f>MAX(A$14:$A151)+1</f>
        <v>130</v>
      </c>
      <c r="B152" s="139" t="s">
        <v>875</v>
      </c>
      <c r="C152" s="140" t="s">
        <v>458</v>
      </c>
      <c r="D152" s="140" t="s">
        <v>84</v>
      </c>
      <c r="E152" s="140" t="s">
        <v>84</v>
      </c>
      <c r="F152" s="72" t="s">
        <v>349</v>
      </c>
      <c r="G152" s="72" t="s">
        <v>876</v>
      </c>
      <c r="H152" s="78" t="s">
        <v>877</v>
      </c>
      <c r="I152" s="72" t="s">
        <v>416</v>
      </c>
      <c r="J152" s="141">
        <v>77000</v>
      </c>
      <c r="K152" s="142">
        <v>77000</v>
      </c>
      <c r="L152" s="142"/>
      <c r="M152" s="142">
        <v>77000</v>
      </c>
      <c r="N152" s="141" t="s">
        <v>878</v>
      </c>
      <c r="O152" s="141"/>
      <c r="P152" s="141"/>
      <c r="Q152" s="143"/>
      <c r="R152" s="141"/>
      <c r="S152" s="142">
        <v>77000</v>
      </c>
      <c r="T152" s="142"/>
      <c r="U152" s="142"/>
      <c r="V152" s="137"/>
      <c r="W152" s="55"/>
      <c r="X152" s="55"/>
      <c r="Y152" s="55"/>
      <c r="Z152" s="55"/>
      <c r="AA152" s="119"/>
    </row>
    <row r="153" spans="1:27" s="120" customFormat="1" ht="40.200000000000003" customHeight="1">
      <c r="A153" s="70">
        <f>MAX(A$14:$A152)+1</f>
        <v>131</v>
      </c>
      <c r="B153" s="139" t="s">
        <v>879</v>
      </c>
      <c r="C153" s="140" t="s">
        <v>458</v>
      </c>
      <c r="D153" s="140" t="s">
        <v>84</v>
      </c>
      <c r="E153" s="140" t="s">
        <v>84</v>
      </c>
      <c r="F153" s="72" t="s">
        <v>351</v>
      </c>
      <c r="G153" s="72" t="s">
        <v>880</v>
      </c>
      <c r="H153" s="78" t="s">
        <v>881</v>
      </c>
      <c r="I153" s="72" t="s">
        <v>416</v>
      </c>
      <c r="J153" s="141">
        <v>65000</v>
      </c>
      <c r="K153" s="142">
        <v>65000</v>
      </c>
      <c r="L153" s="142"/>
      <c r="M153" s="142">
        <v>65000</v>
      </c>
      <c r="N153" s="141">
        <v>65000</v>
      </c>
      <c r="O153" s="141">
        <v>65000</v>
      </c>
      <c r="P153" s="141">
        <v>65000</v>
      </c>
      <c r="Q153" s="143">
        <v>65000</v>
      </c>
      <c r="R153" s="141">
        <v>65000</v>
      </c>
      <c r="S153" s="142">
        <v>65000</v>
      </c>
      <c r="T153" s="142"/>
      <c r="U153" s="142"/>
      <c r="V153" s="137"/>
      <c r="W153" s="55"/>
      <c r="X153" s="55"/>
      <c r="Y153" s="55"/>
      <c r="Z153" s="55"/>
      <c r="AA153" s="119"/>
    </row>
    <row r="154" spans="1:27" s="120" customFormat="1" ht="32.25" customHeight="1">
      <c r="A154" s="65" t="s">
        <v>498</v>
      </c>
      <c r="B154" s="66" t="s">
        <v>499</v>
      </c>
      <c r="C154" s="144"/>
      <c r="D154" s="116"/>
      <c r="E154" s="116"/>
      <c r="F154" s="116"/>
      <c r="G154" s="116"/>
      <c r="H154" s="145"/>
      <c r="I154" s="116"/>
      <c r="J154" s="65"/>
      <c r="K154" s="146">
        <f>SUM(K167:K213)</f>
        <v>2207145</v>
      </c>
      <c r="L154" s="146">
        <f t="shared" ref="L154:T154" si="12">SUM(L167:L213)</f>
        <v>0</v>
      </c>
      <c r="M154" s="146">
        <f t="shared" si="12"/>
        <v>2207145</v>
      </c>
      <c r="N154" s="146">
        <f t="shared" si="12"/>
        <v>7755</v>
      </c>
      <c r="O154" s="146">
        <f t="shared" si="12"/>
        <v>0</v>
      </c>
      <c r="P154" s="146">
        <f t="shared" si="12"/>
        <v>0</v>
      </c>
      <c r="Q154" s="146">
        <f t="shared" si="12"/>
        <v>0</v>
      </c>
      <c r="R154" s="146">
        <f t="shared" si="12"/>
        <v>0</v>
      </c>
      <c r="S154" s="146">
        <f t="shared" si="12"/>
        <v>2007145</v>
      </c>
      <c r="T154" s="146">
        <f t="shared" si="12"/>
        <v>246705</v>
      </c>
      <c r="U154" s="146">
        <f>SUM(U167:U213)</f>
        <v>171305</v>
      </c>
      <c r="V154" s="145"/>
      <c r="W154" s="55"/>
      <c r="X154" s="55"/>
      <c r="Y154" s="55"/>
      <c r="Z154" s="55"/>
      <c r="AA154" s="124"/>
    </row>
    <row r="155" spans="1:27" s="120" customFormat="1" ht="40.200000000000003" customHeight="1">
      <c r="A155" s="70">
        <f>MAX(A$14:$A154)+1</f>
        <v>132</v>
      </c>
      <c r="B155" s="139" t="s">
        <v>882</v>
      </c>
      <c r="C155" s="140" t="s">
        <v>883</v>
      </c>
      <c r="D155" s="140" t="s">
        <v>47</v>
      </c>
      <c r="E155" s="140" t="s">
        <v>47</v>
      </c>
      <c r="F155" s="72" t="s">
        <v>573</v>
      </c>
      <c r="G155" s="72" t="s">
        <v>884</v>
      </c>
      <c r="H155" s="78" t="s">
        <v>885</v>
      </c>
      <c r="I155" s="72" t="s">
        <v>416</v>
      </c>
      <c r="J155" s="141"/>
      <c r="K155" s="142">
        <v>300000</v>
      </c>
      <c r="L155" s="142"/>
      <c r="M155" s="142">
        <v>300000</v>
      </c>
      <c r="N155" s="141"/>
      <c r="O155" s="141"/>
      <c r="P155" s="141"/>
      <c r="Q155" s="143"/>
      <c r="R155" s="141"/>
      <c r="S155" s="142">
        <f t="shared" ref="S155:S165" si="13">K155</f>
        <v>300000</v>
      </c>
      <c r="T155" s="142">
        <v>6000</v>
      </c>
      <c r="U155" s="142">
        <v>6000</v>
      </c>
      <c r="V155" s="137" t="s">
        <v>886</v>
      </c>
      <c r="W155" s="55"/>
      <c r="X155" s="55"/>
      <c r="Y155" s="55"/>
      <c r="Z155" s="55"/>
      <c r="AA155" s="119"/>
    </row>
    <row r="156" spans="1:27" s="120" customFormat="1" ht="40.200000000000003" customHeight="1">
      <c r="A156" s="70">
        <f>MAX(A$14:$A155)+1</f>
        <v>133</v>
      </c>
      <c r="B156" s="139" t="s">
        <v>887</v>
      </c>
      <c r="C156" s="140" t="s">
        <v>883</v>
      </c>
      <c r="D156" s="140" t="s">
        <v>84</v>
      </c>
      <c r="E156" s="140" t="s">
        <v>84</v>
      </c>
      <c r="F156" s="72" t="s">
        <v>573</v>
      </c>
      <c r="G156" s="72" t="s">
        <v>888</v>
      </c>
      <c r="H156" s="78" t="s">
        <v>889</v>
      </c>
      <c r="I156" s="72" t="s">
        <v>416</v>
      </c>
      <c r="J156" s="141"/>
      <c r="K156" s="142">
        <v>100000</v>
      </c>
      <c r="L156" s="142"/>
      <c r="M156" s="142">
        <v>100000</v>
      </c>
      <c r="N156" s="141"/>
      <c r="O156" s="141"/>
      <c r="P156" s="141"/>
      <c r="Q156" s="143"/>
      <c r="R156" s="141"/>
      <c r="S156" s="142">
        <f>K156</f>
        <v>100000</v>
      </c>
      <c r="T156" s="142">
        <v>2000</v>
      </c>
      <c r="U156" s="142">
        <v>2000</v>
      </c>
      <c r="V156" s="137" t="s">
        <v>890</v>
      </c>
      <c r="W156" s="55"/>
      <c r="X156" s="55"/>
      <c r="Y156" s="55"/>
      <c r="Z156" s="55"/>
      <c r="AA156" s="119"/>
    </row>
    <row r="157" spans="1:27" s="120" customFormat="1" ht="40.200000000000003" customHeight="1">
      <c r="A157" s="70">
        <f>MAX(A$14:$A156)+1</f>
        <v>134</v>
      </c>
      <c r="B157" s="139" t="s">
        <v>891</v>
      </c>
      <c r="C157" s="140" t="s">
        <v>883</v>
      </c>
      <c r="D157" s="140" t="s">
        <v>47</v>
      </c>
      <c r="E157" s="140" t="s">
        <v>47</v>
      </c>
      <c r="F157" s="72" t="s">
        <v>892</v>
      </c>
      <c r="G157" s="72" t="s">
        <v>893</v>
      </c>
      <c r="H157" s="78" t="s">
        <v>894</v>
      </c>
      <c r="I157" s="72" t="s">
        <v>416</v>
      </c>
      <c r="J157" s="141"/>
      <c r="K157" s="142">
        <v>450000</v>
      </c>
      <c r="L157" s="142"/>
      <c r="M157" s="142">
        <v>450000</v>
      </c>
      <c r="N157" s="141"/>
      <c r="O157" s="141"/>
      <c r="P157" s="141"/>
      <c r="Q157" s="143"/>
      <c r="R157" s="141"/>
      <c r="S157" s="142">
        <f>K157</f>
        <v>450000</v>
      </c>
      <c r="T157" s="142"/>
      <c r="U157" s="142"/>
      <c r="V157" s="137" t="s">
        <v>895</v>
      </c>
      <c r="W157" s="55"/>
      <c r="X157" s="55"/>
      <c r="Y157" s="55"/>
      <c r="Z157" s="55"/>
      <c r="AA157" s="119"/>
    </row>
    <row r="158" spans="1:27" s="120" customFormat="1" ht="40.200000000000003" customHeight="1">
      <c r="A158" s="70">
        <f>MAX(A$14:$A157)+1</f>
        <v>135</v>
      </c>
      <c r="B158" s="139" t="s">
        <v>896</v>
      </c>
      <c r="C158" s="140" t="s">
        <v>883</v>
      </c>
      <c r="D158" s="140" t="s">
        <v>47</v>
      </c>
      <c r="E158" s="140" t="s">
        <v>47</v>
      </c>
      <c r="F158" s="72" t="s">
        <v>897</v>
      </c>
      <c r="G158" s="72" t="s">
        <v>898</v>
      </c>
      <c r="H158" s="78" t="s">
        <v>899</v>
      </c>
      <c r="I158" s="72" t="s">
        <v>416</v>
      </c>
      <c r="J158" s="141"/>
      <c r="K158" s="142">
        <v>300000</v>
      </c>
      <c r="L158" s="142"/>
      <c r="M158" s="142">
        <v>300000</v>
      </c>
      <c r="N158" s="141"/>
      <c r="O158" s="141"/>
      <c r="P158" s="141"/>
      <c r="Q158" s="143"/>
      <c r="R158" s="141"/>
      <c r="S158" s="142">
        <v>300000</v>
      </c>
      <c r="T158" s="142">
        <v>3000</v>
      </c>
      <c r="U158" s="142">
        <v>3000</v>
      </c>
      <c r="V158" s="137" t="s">
        <v>900</v>
      </c>
      <c r="W158" s="55"/>
      <c r="X158" s="55"/>
      <c r="Y158" s="55"/>
      <c r="Z158" s="55"/>
      <c r="AA158" s="119"/>
    </row>
    <row r="159" spans="1:27" s="120" customFormat="1" ht="40.200000000000003" customHeight="1">
      <c r="A159" s="70">
        <f>MAX(A$14:$A158)+1</f>
        <v>136</v>
      </c>
      <c r="B159" s="139" t="s">
        <v>901</v>
      </c>
      <c r="C159" s="140" t="s">
        <v>883</v>
      </c>
      <c r="D159" s="140" t="s">
        <v>47</v>
      </c>
      <c r="E159" s="140" t="s">
        <v>47</v>
      </c>
      <c r="F159" s="72" t="s">
        <v>902</v>
      </c>
      <c r="G159" s="72" t="s">
        <v>903</v>
      </c>
      <c r="H159" s="78" t="s">
        <v>904</v>
      </c>
      <c r="I159" s="72" t="s">
        <v>416</v>
      </c>
      <c r="J159" s="141"/>
      <c r="K159" s="142">
        <v>227273</v>
      </c>
      <c r="L159" s="142"/>
      <c r="M159" s="142">
        <v>227272.72500000001</v>
      </c>
      <c r="N159" s="141"/>
      <c r="O159" s="141"/>
      <c r="P159" s="141"/>
      <c r="Q159" s="143"/>
      <c r="R159" s="141"/>
      <c r="S159" s="142">
        <f>K159</f>
        <v>227273</v>
      </c>
      <c r="T159" s="142">
        <v>2000</v>
      </c>
      <c r="U159" s="142">
        <v>2000</v>
      </c>
      <c r="V159" s="137" t="s">
        <v>905</v>
      </c>
      <c r="W159" s="55"/>
      <c r="X159" s="55"/>
      <c r="Y159" s="55"/>
      <c r="Z159" s="55"/>
      <c r="AA159" s="119"/>
    </row>
    <row r="160" spans="1:27" s="120" customFormat="1" ht="40.200000000000003" customHeight="1">
      <c r="A160" s="70">
        <f>MAX(A$14:$A159)+1</f>
        <v>137</v>
      </c>
      <c r="B160" s="139" t="s">
        <v>906</v>
      </c>
      <c r="C160" s="140" t="s">
        <v>883</v>
      </c>
      <c r="D160" s="140" t="s">
        <v>47</v>
      </c>
      <c r="E160" s="140" t="s">
        <v>47</v>
      </c>
      <c r="F160" s="72" t="s">
        <v>907</v>
      </c>
      <c r="G160" s="72" t="s">
        <v>908</v>
      </c>
      <c r="H160" s="78" t="s">
        <v>909</v>
      </c>
      <c r="I160" s="72" t="s">
        <v>416</v>
      </c>
      <c r="J160" s="141"/>
      <c r="K160" s="142">
        <v>340000</v>
      </c>
      <c r="L160" s="142"/>
      <c r="M160" s="142">
        <v>340000</v>
      </c>
      <c r="N160" s="141"/>
      <c r="O160" s="141"/>
      <c r="P160" s="141"/>
      <c r="Q160" s="143"/>
      <c r="R160" s="141"/>
      <c r="S160" s="142">
        <f>K160</f>
        <v>340000</v>
      </c>
      <c r="T160" s="142">
        <v>3000</v>
      </c>
      <c r="U160" s="142">
        <v>3000</v>
      </c>
      <c r="V160" s="137" t="s">
        <v>910</v>
      </c>
      <c r="W160" s="55"/>
      <c r="X160" s="55"/>
      <c r="Y160" s="55"/>
      <c r="Z160" s="55"/>
      <c r="AA160" s="119"/>
    </row>
    <row r="161" spans="1:27" s="120" customFormat="1" ht="40.200000000000003" customHeight="1">
      <c r="A161" s="70">
        <f>MAX(A$14:$A160)+1</f>
        <v>138</v>
      </c>
      <c r="B161" s="139" t="s">
        <v>911</v>
      </c>
      <c r="C161" s="140" t="s">
        <v>883</v>
      </c>
      <c r="D161" s="140" t="s">
        <v>47</v>
      </c>
      <c r="E161" s="140" t="s">
        <v>47</v>
      </c>
      <c r="F161" s="72" t="s">
        <v>912</v>
      </c>
      <c r="G161" s="72" t="s">
        <v>913</v>
      </c>
      <c r="H161" s="78" t="s">
        <v>914</v>
      </c>
      <c r="I161" s="72" t="s">
        <v>416</v>
      </c>
      <c r="J161" s="141"/>
      <c r="K161" s="142">
        <v>280000</v>
      </c>
      <c r="L161" s="142"/>
      <c r="M161" s="142">
        <v>280000</v>
      </c>
      <c r="N161" s="141"/>
      <c r="O161" s="141"/>
      <c r="P161" s="141"/>
      <c r="Q161" s="143"/>
      <c r="R161" s="141"/>
      <c r="S161" s="142">
        <f>K161</f>
        <v>280000</v>
      </c>
      <c r="T161" s="142">
        <v>2000</v>
      </c>
      <c r="U161" s="142">
        <v>2000</v>
      </c>
      <c r="V161" s="137" t="s">
        <v>915</v>
      </c>
      <c r="W161" s="55"/>
      <c r="X161" s="55"/>
      <c r="Y161" s="55"/>
      <c r="Z161" s="55"/>
      <c r="AA161" s="119"/>
    </row>
    <row r="162" spans="1:27" s="120" customFormat="1" ht="40.200000000000003" customHeight="1">
      <c r="A162" s="70">
        <f>MAX(A$14:$A161)+1</f>
        <v>139</v>
      </c>
      <c r="B162" s="139" t="s">
        <v>916</v>
      </c>
      <c r="C162" s="140" t="s">
        <v>883</v>
      </c>
      <c r="D162" s="140" t="s">
        <v>84</v>
      </c>
      <c r="E162" s="140" t="s">
        <v>84</v>
      </c>
      <c r="F162" s="72" t="s">
        <v>912</v>
      </c>
      <c r="G162" s="72"/>
      <c r="H162" s="78"/>
      <c r="I162" s="72" t="s">
        <v>416</v>
      </c>
      <c r="J162" s="141"/>
      <c r="K162" s="142">
        <v>41000</v>
      </c>
      <c r="L162" s="142"/>
      <c r="M162" s="142">
        <v>41000</v>
      </c>
      <c r="N162" s="141"/>
      <c r="O162" s="141"/>
      <c r="P162" s="141"/>
      <c r="Q162" s="143"/>
      <c r="R162" s="141"/>
      <c r="S162" s="142">
        <f t="shared" si="13"/>
        <v>41000</v>
      </c>
      <c r="T162" s="142">
        <v>1000</v>
      </c>
      <c r="U162" s="142">
        <v>1000</v>
      </c>
      <c r="V162" s="137" t="s">
        <v>917</v>
      </c>
      <c r="W162" s="55"/>
      <c r="X162" s="55"/>
      <c r="Y162" s="55"/>
      <c r="Z162" s="55"/>
      <c r="AA162" s="119"/>
    </row>
    <row r="163" spans="1:27" s="120" customFormat="1" ht="40.200000000000003" customHeight="1">
      <c r="A163" s="70">
        <f>MAX(A$14:$A162)+1</f>
        <v>140</v>
      </c>
      <c r="B163" s="139" t="s">
        <v>918</v>
      </c>
      <c r="C163" s="140" t="s">
        <v>883</v>
      </c>
      <c r="D163" s="140" t="s">
        <v>84</v>
      </c>
      <c r="E163" s="140" t="s">
        <v>84</v>
      </c>
      <c r="F163" s="72" t="s">
        <v>919</v>
      </c>
      <c r="G163" s="72"/>
      <c r="H163" s="78"/>
      <c r="I163" s="72" t="s">
        <v>416</v>
      </c>
      <c r="J163" s="141"/>
      <c r="K163" s="142">
        <v>50000</v>
      </c>
      <c r="L163" s="142"/>
      <c r="M163" s="142">
        <v>50000</v>
      </c>
      <c r="N163" s="141"/>
      <c r="O163" s="141"/>
      <c r="P163" s="141"/>
      <c r="Q163" s="143"/>
      <c r="R163" s="141"/>
      <c r="S163" s="142">
        <f t="shared" si="13"/>
        <v>50000</v>
      </c>
      <c r="T163" s="142">
        <v>1000</v>
      </c>
      <c r="U163" s="142">
        <v>1000</v>
      </c>
      <c r="V163" s="137" t="s">
        <v>920</v>
      </c>
      <c r="W163" s="55"/>
      <c r="X163" s="55"/>
      <c r="Y163" s="55"/>
      <c r="Z163" s="55"/>
      <c r="AA163" s="119"/>
    </row>
    <row r="164" spans="1:27" s="120" customFormat="1" ht="40.200000000000003" customHeight="1">
      <c r="A164" s="70">
        <f>MAX(A$14:$A163)+1</f>
        <v>141</v>
      </c>
      <c r="B164" s="139" t="s">
        <v>921</v>
      </c>
      <c r="C164" s="140" t="s">
        <v>883</v>
      </c>
      <c r="D164" s="140" t="s">
        <v>84</v>
      </c>
      <c r="E164" s="140" t="s">
        <v>84</v>
      </c>
      <c r="F164" s="72" t="s">
        <v>912</v>
      </c>
      <c r="G164" s="72"/>
      <c r="H164" s="78"/>
      <c r="I164" s="72" t="s">
        <v>416</v>
      </c>
      <c r="J164" s="141"/>
      <c r="K164" s="142">
        <v>100000</v>
      </c>
      <c r="L164" s="142"/>
      <c r="M164" s="142">
        <v>100000</v>
      </c>
      <c r="N164" s="141"/>
      <c r="O164" s="141"/>
      <c r="P164" s="141"/>
      <c r="Q164" s="143"/>
      <c r="R164" s="141"/>
      <c r="S164" s="142">
        <f t="shared" si="13"/>
        <v>100000</v>
      </c>
      <c r="T164" s="142">
        <v>1000</v>
      </c>
      <c r="U164" s="142">
        <v>1000</v>
      </c>
      <c r="V164" s="137" t="s">
        <v>922</v>
      </c>
      <c r="W164" s="55"/>
      <c r="X164" s="55"/>
      <c r="Y164" s="55"/>
      <c r="Z164" s="55"/>
      <c r="AA164" s="119"/>
    </row>
    <row r="165" spans="1:27" s="120" customFormat="1" ht="40.200000000000003" customHeight="1">
      <c r="A165" s="70">
        <f>MAX(A$14:$A164)+1</f>
        <v>142</v>
      </c>
      <c r="B165" s="139" t="s">
        <v>923</v>
      </c>
      <c r="C165" s="140" t="s">
        <v>883</v>
      </c>
      <c r="D165" s="140" t="s">
        <v>84</v>
      </c>
      <c r="E165" s="140" t="s">
        <v>84</v>
      </c>
      <c r="F165" s="72" t="s">
        <v>924</v>
      </c>
      <c r="G165" s="72" t="s">
        <v>925</v>
      </c>
      <c r="H165" s="78" t="s">
        <v>926</v>
      </c>
      <c r="I165" s="72"/>
      <c r="J165" s="141"/>
      <c r="K165" s="142">
        <v>70000</v>
      </c>
      <c r="L165" s="142"/>
      <c r="M165" s="142">
        <v>70000</v>
      </c>
      <c r="N165" s="141"/>
      <c r="O165" s="141"/>
      <c r="P165" s="141"/>
      <c r="Q165" s="143"/>
      <c r="R165" s="141"/>
      <c r="S165" s="142">
        <f t="shared" si="13"/>
        <v>70000</v>
      </c>
      <c r="T165" s="142">
        <v>1000</v>
      </c>
      <c r="U165" s="142">
        <v>1000</v>
      </c>
      <c r="V165" s="137" t="s">
        <v>927</v>
      </c>
      <c r="W165" s="55"/>
      <c r="X165" s="55"/>
      <c r="Y165" s="55"/>
      <c r="Z165" s="55"/>
      <c r="AA165" s="119"/>
    </row>
    <row r="166" spans="1:27" s="120" customFormat="1" ht="40.200000000000003" customHeight="1">
      <c r="A166" s="70">
        <f>MAX(A$14:$A165)+1</f>
        <v>143</v>
      </c>
      <c r="B166" s="139" t="s">
        <v>928</v>
      </c>
      <c r="C166" s="140" t="s">
        <v>883</v>
      </c>
      <c r="D166" s="140" t="s">
        <v>84</v>
      </c>
      <c r="E166" s="140" t="s">
        <v>84</v>
      </c>
      <c r="F166" s="72" t="s">
        <v>929</v>
      </c>
      <c r="G166" s="72"/>
      <c r="H166" s="78"/>
      <c r="I166" s="72" t="s">
        <v>416</v>
      </c>
      <c r="J166" s="141"/>
      <c r="K166" s="142">
        <v>150000</v>
      </c>
      <c r="L166" s="142"/>
      <c r="M166" s="142">
        <v>150000</v>
      </c>
      <c r="N166" s="141"/>
      <c r="O166" s="141"/>
      <c r="P166" s="141"/>
      <c r="Q166" s="143"/>
      <c r="R166" s="141"/>
      <c r="S166" s="142">
        <v>150000</v>
      </c>
      <c r="T166" s="142"/>
      <c r="U166" s="142"/>
      <c r="V166" s="137"/>
      <c r="W166" s="55"/>
      <c r="X166" s="55"/>
      <c r="Y166" s="55"/>
      <c r="Z166" s="55"/>
      <c r="AA166" s="119"/>
    </row>
    <row r="167" spans="1:27" s="120" customFormat="1" ht="40.200000000000003" customHeight="1">
      <c r="A167" s="70">
        <f>MAX(A$14:$A166)+1</f>
        <v>144</v>
      </c>
      <c r="B167" s="134" t="s">
        <v>930</v>
      </c>
      <c r="C167" s="129" t="s">
        <v>632</v>
      </c>
      <c r="D167" s="78" t="s">
        <v>84</v>
      </c>
      <c r="E167" s="78" t="s">
        <v>84</v>
      </c>
      <c r="F167" s="78" t="s">
        <v>340</v>
      </c>
      <c r="G167" s="135" t="s">
        <v>931</v>
      </c>
      <c r="H167" s="147" t="s">
        <v>932</v>
      </c>
      <c r="I167" s="78" t="s">
        <v>568</v>
      </c>
      <c r="J167" s="148"/>
      <c r="K167" s="131">
        <v>1350</v>
      </c>
      <c r="L167" s="131"/>
      <c r="M167" s="131">
        <f>+K167</f>
        <v>1350</v>
      </c>
      <c r="N167" s="149">
        <f>+K167</f>
        <v>1350</v>
      </c>
      <c r="O167" s="150"/>
      <c r="P167" s="150"/>
      <c r="Q167" s="151"/>
      <c r="R167" s="152"/>
      <c r="S167" s="131">
        <v>1350</v>
      </c>
      <c r="T167" s="131">
        <v>1350</v>
      </c>
      <c r="U167" s="131">
        <v>1350</v>
      </c>
      <c r="V167" s="153"/>
      <c r="W167" s="55"/>
      <c r="X167" s="55"/>
      <c r="Y167" s="55"/>
      <c r="Z167" s="55"/>
      <c r="AA167" s="154"/>
    </row>
    <row r="168" spans="1:27" s="120" customFormat="1" ht="40.200000000000003" customHeight="1">
      <c r="A168" s="70">
        <f>MAX(A$14:$A167)+1</f>
        <v>145</v>
      </c>
      <c r="B168" s="134" t="s">
        <v>933</v>
      </c>
      <c r="C168" s="129" t="s">
        <v>632</v>
      </c>
      <c r="D168" s="78" t="s">
        <v>84</v>
      </c>
      <c r="E168" s="78" t="s">
        <v>84</v>
      </c>
      <c r="F168" s="78" t="s">
        <v>340</v>
      </c>
      <c r="G168" s="135" t="s">
        <v>934</v>
      </c>
      <c r="H168" s="147" t="s">
        <v>935</v>
      </c>
      <c r="I168" s="78" t="s">
        <v>568</v>
      </c>
      <c r="J168" s="148"/>
      <c r="K168" s="131">
        <v>1405</v>
      </c>
      <c r="L168" s="131"/>
      <c r="M168" s="131">
        <f>+K168</f>
        <v>1405</v>
      </c>
      <c r="N168" s="149">
        <f>+K168</f>
        <v>1405</v>
      </c>
      <c r="O168" s="150"/>
      <c r="P168" s="150"/>
      <c r="Q168" s="151"/>
      <c r="R168" s="152"/>
      <c r="S168" s="131">
        <v>1405</v>
      </c>
      <c r="T168" s="131">
        <v>1405</v>
      </c>
      <c r="U168" s="131">
        <v>1405</v>
      </c>
      <c r="V168" s="153"/>
      <c r="W168" s="55"/>
      <c r="X168" s="55"/>
      <c r="Y168" s="55"/>
      <c r="Z168" s="55"/>
      <c r="AA168" s="154"/>
    </row>
    <row r="169" spans="1:27" s="120" customFormat="1" ht="40.200000000000003" customHeight="1">
      <c r="A169" s="70">
        <f>MAX(A$14:$A168)+1</f>
        <v>146</v>
      </c>
      <c r="B169" s="134" t="s">
        <v>936</v>
      </c>
      <c r="C169" s="129" t="s">
        <v>632</v>
      </c>
      <c r="D169" s="78" t="s">
        <v>84</v>
      </c>
      <c r="E169" s="78" t="s">
        <v>84</v>
      </c>
      <c r="F169" s="78" t="s">
        <v>340</v>
      </c>
      <c r="G169" s="135" t="s">
        <v>937</v>
      </c>
      <c r="H169" s="147" t="s">
        <v>938</v>
      </c>
      <c r="I169" s="78" t="s">
        <v>568</v>
      </c>
      <c r="J169" s="148"/>
      <c r="K169" s="131">
        <v>5000</v>
      </c>
      <c r="L169" s="131"/>
      <c r="M169" s="131">
        <v>5000</v>
      </c>
      <c r="N169" s="149">
        <f>+K169</f>
        <v>5000</v>
      </c>
      <c r="O169" s="150"/>
      <c r="P169" s="150"/>
      <c r="Q169" s="151"/>
      <c r="R169" s="152"/>
      <c r="S169" s="131">
        <v>5000</v>
      </c>
      <c r="T169" s="131">
        <v>5000</v>
      </c>
      <c r="U169" s="131">
        <v>5000</v>
      </c>
      <c r="V169" s="153"/>
      <c r="W169" s="55"/>
      <c r="X169" s="55"/>
      <c r="Y169" s="55"/>
      <c r="Z169" s="55"/>
      <c r="AA169" s="154"/>
    </row>
    <row r="170" spans="1:27" s="120" customFormat="1" ht="40.200000000000003" customHeight="1">
      <c r="A170" s="70">
        <f>MAX(A$14:$A169)+1</f>
        <v>147</v>
      </c>
      <c r="B170" s="77" t="s">
        <v>939</v>
      </c>
      <c r="C170" s="129" t="s">
        <v>632</v>
      </c>
      <c r="D170" s="78" t="s">
        <v>84</v>
      </c>
      <c r="E170" s="78" t="s">
        <v>84</v>
      </c>
      <c r="F170" s="130" t="s">
        <v>352</v>
      </c>
      <c r="G170" s="78" t="s">
        <v>940</v>
      </c>
      <c r="H170" s="78" t="s">
        <v>941</v>
      </c>
      <c r="I170" s="78" t="s">
        <v>568</v>
      </c>
      <c r="J170" s="148"/>
      <c r="K170" s="131">
        <v>30000</v>
      </c>
      <c r="L170" s="131"/>
      <c r="M170" s="131">
        <v>30000</v>
      </c>
      <c r="N170" s="149"/>
      <c r="O170" s="150"/>
      <c r="P170" s="150"/>
      <c r="Q170" s="151"/>
      <c r="R170" s="152"/>
      <c r="S170" s="131">
        <v>30000</v>
      </c>
      <c r="T170" s="131">
        <v>15000</v>
      </c>
      <c r="U170" s="131">
        <v>15000</v>
      </c>
      <c r="V170" s="153"/>
      <c r="W170" s="55"/>
      <c r="X170" s="55"/>
      <c r="Y170" s="55"/>
      <c r="Z170" s="55"/>
      <c r="AA170" s="154"/>
    </row>
    <row r="171" spans="1:27" s="120" customFormat="1" ht="40.200000000000003" customHeight="1">
      <c r="A171" s="70">
        <f>MAX(A$14:$A170)+1</f>
        <v>148</v>
      </c>
      <c r="B171" s="134" t="s">
        <v>942</v>
      </c>
      <c r="C171" s="129" t="s">
        <v>632</v>
      </c>
      <c r="D171" s="78" t="s">
        <v>84</v>
      </c>
      <c r="E171" s="78" t="s">
        <v>84</v>
      </c>
      <c r="F171" s="130" t="s">
        <v>353</v>
      </c>
      <c r="G171" s="78" t="s">
        <v>943</v>
      </c>
      <c r="H171" s="127" t="s">
        <v>941</v>
      </c>
      <c r="I171" s="78" t="s">
        <v>668</v>
      </c>
      <c r="J171" s="148"/>
      <c r="K171" s="131">
        <v>79990</v>
      </c>
      <c r="L171" s="131"/>
      <c r="M171" s="131">
        <v>79990</v>
      </c>
      <c r="N171" s="149"/>
      <c r="O171" s="150"/>
      <c r="P171" s="150"/>
      <c r="Q171" s="151"/>
      <c r="R171" s="152"/>
      <c r="S171" s="131">
        <v>79990</v>
      </c>
      <c r="T171" s="131"/>
      <c r="U171" s="131"/>
      <c r="V171" s="153"/>
      <c r="W171" s="55"/>
      <c r="X171" s="55"/>
      <c r="Y171" s="55"/>
      <c r="Z171" s="55"/>
      <c r="AA171" s="154"/>
    </row>
    <row r="172" spans="1:27" s="120" customFormat="1" ht="40.200000000000003" customHeight="1">
      <c r="A172" s="70">
        <f>MAX(A$14:$A171)+1</f>
        <v>149</v>
      </c>
      <c r="B172" s="134" t="s">
        <v>944</v>
      </c>
      <c r="C172" s="129" t="s">
        <v>632</v>
      </c>
      <c r="D172" s="78" t="s">
        <v>84</v>
      </c>
      <c r="E172" s="78" t="s">
        <v>84</v>
      </c>
      <c r="F172" s="130" t="s">
        <v>353</v>
      </c>
      <c r="G172" s="78" t="s">
        <v>945</v>
      </c>
      <c r="H172" s="138" t="s">
        <v>946</v>
      </c>
      <c r="I172" s="78" t="s">
        <v>612</v>
      </c>
      <c r="J172" s="148"/>
      <c r="K172" s="131">
        <v>25000</v>
      </c>
      <c r="L172" s="131"/>
      <c r="M172" s="131">
        <v>25000</v>
      </c>
      <c r="N172" s="149"/>
      <c r="O172" s="150"/>
      <c r="P172" s="150"/>
      <c r="Q172" s="151"/>
      <c r="R172" s="152"/>
      <c r="S172" s="131">
        <v>25000</v>
      </c>
      <c r="T172" s="131"/>
      <c r="U172" s="131"/>
      <c r="V172" s="153"/>
      <c r="W172" s="55"/>
      <c r="X172" s="55"/>
      <c r="Y172" s="55"/>
      <c r="Z172" s="55"/>
      <c r="AA172" s="154"/>
    </row>
    <row r="173" spans="1:27" s="120" customFormat="1" ht="40.200000000000003" customHeight="1">
      <c r="A173" s="70">
        <f>MAX(A$14:$A172)+1</f>
        <v>150</v>
      </c>
      <c r="B173" s="134" t="s">
        <v>947</v>
      </c>
      <c r="C173" s="129" t="s">
        <v>632</v>
      </c>
      <c r="D173" s="78" t="s">
        <v>84</v>
      </c>
      <c r="E173" s="78" t="s">
        <v>84</v>
      </c>
      <c r="F173" s="130" t="s">
        <v>352</v>
      </c>
      <c r="G173" s="78" t="s">
        <v>945</v>
      </c>
      <c r="H173" s="138" t="s">
        <v>946</v>
      </c>
      <c r="I173" s="78" t="s">
        <v>612</v>
      </c>
      <c r="J173" s="148"/>
      <c r="K173" s="131">
        <v>25000</v>
      </c>
      <c r="L173" s="131"/>
      <c r="M173" s="131">
        <v>25000</v>
      </c>
      <c r="N173" s="149"/>
      <c r="O173" s="150"/>
      <c r="P173" s="150"/>
      <c r="Q173" s="151"/>
      <c r="R173" s="152"/>
      <c r="S173" s="131">
        <v>25000</v>
      </c>
      <c r="T173" s="131"/>
      <c r="U173" s="131"/>
      <c r="V173" s="153"/>
      <c r="W173" s="55"/>
      <c r="X173" s="55"/>
      <c r="Y173" s="55"/>
      <c r="Z173" s="55"/>
      <c r="AA173" s="154"/>
    </row>
    <row r="174" spans="1:27" s="120" customFormat="1" ht="40.200000000000003" customHeight="1">
      <c r="A174" s="70">
        <f>MAX(A$14:$A173)+1</f>
        <v>151</v>
      </c>
      <c r="B174" s="134" t="s">
        <v>948</v>
      </c>
      <c r="C174" s="129" t="s">
        <v>632</v>
      </c>
      <c r="D174" s="78" t="s">
        <v>84</v>
      </c>
      <c r="E174" s="78" t="s">
        <v>84</v>
      </c>
      <c r="F174" s="130" t="s">
        <v>352</v>
      </c>
      <c r="G174" s="78" t="s">
        <v>949</v>
      </c>
      <c r="H174" s="78" t="s">
        <v>950</v>
      </c>
      <c r="I174" s="78" t="s">
        <v>668</v>
      </c>
      <c r="J174" s="148"/>
      <c r="K174" s="131">
        <v>40000</v>
      </c>
      <c r="L174" s="131"/>
      <c r="M174" s="131">
        <v>40000</v>
      </c>
      <c r="N174" s="149"/>
      <c r="O174" s="150"/>
      <c r="P174" s="150"/>
      <c r="Q174" s="151"/>
      <c r="R174" s="152"/>
      <c r="S174" s="131">
        <v>40000</v>
      </c>
      <c r="T174" s="131"/>
      <c r="U174" s="131"/>
      <c r="V174" s="153"/>
      <c r="W174" s="55"/>
      <c r="X174" s="55"/>
      <c r="Y174" s="55"/>
      <c r="Z174" s="55"/>
      <c r="AA174" s="154"/>
    </row>
    <row r="175" spans="1:27" s="120" customFormat="1" ht="40.200000000000003" customHeight="1">
      <c r="A175" s="70">
        <f>MAX(A$14:$A174)+1</f>
        <v>152</v>
      </c>
      <c r="B175" s="134" t="s">
        <v>951</v>
      </c>
      <c r="C175" s="129" t="s">
        <v>632</v>
      </c>
      <c r="D175" s="78" t="s">
        <v>84</v>
      </c>
      <c r="E175" s="78" t="s">
        <v>84</v>
      </c>
      <c r="F175" s="130" t="s">
        <v>353</v>
      </c>
      <c r="G175" s="78" t="s">
        <v>952</v>
      </c>
      <c r="H175" s="138" t="s">
        <v>941</v>
      </c>
      <c r="I175" s="78" t="s">
        <v>668</v>
      </c>
      <c r="J175" s="148"/>
      <c r="K175" s="131">
        <v>50000</v>
      </c>
      <c r="L175" s="131"/>
      <c r="M175" s="131">
        <v>50000</v>
      </c>
      <c r="N175" s="149"/>
      <c r="O175" s="150"/>
      <c r="P175" s="150"/>
      <c r="Q175" s="151"/>
      <c r="R175" s="152"/>
      <c r="S175" s="131">
        <v>50000</v>
      </c>
      <c r="T175" s="131"/>
      <c r="U175" s="131"/>
      <c r="V175" s="153"/>
      <c r="W175" s="55"/>
      <c r="X175" s="55"/>
      <c r="Y175" s="55"/>
      <c r="Z175" s="55"/>
      <c r="AA175" s="154"/>
    </row>
    <row r="176" spans="1:27" s="120" customFormat="1" ht="40.200000000000003" customHeight="1">
      <c r="A176" s="70">
        <f>MAX(A$14:$A175)+1</f>
        <v>153</v>
      </c>
      <c r="B176" s="134" t="s">
        <v>953</v>
      </c>
      <c r="C176" s="129" t="s">
        <v>632</v>
      </c>
      <c r="D176" s="78" t="s">
        <v>84</v>
      </c>
      <c r="E176" s="78" t="s">
        <v>84</v>
      </c>
      <c r="F176" s="130" t="s">
        <v>352</v>
      </c>
      <c r="G176" s="78" t="s">
        <v>954</v>
      </c>
      <c r="H176" s="138" t="s">
        <v>955</v>
      </c>
      <c r="I176" s="78" t="s">
        <v>668</v>
      </c>
      <c r="J176" s="148"/>
      <c r="K176" s="131">
        <v>25000</v>
      </c>
      <c r="L176" s="131"/>
      <c r="M176" s="131">
        <v>25000</v>
      </c>
      <c r="N176" s="149"/>
      <c r="O176" s="150"/>
      <c r="P176" s="150"/>
      <c r="Q176" s="151"/>
      <c r="R176" s="152"/>
      <c r="S176" s="131">
        <v>25000</v>
      </c>
      <c r="T176" s="131"/>
      <c r="U176" s="131"/>
      <c r="V176" s="153"/>
      <c r="W176" s="55"/>
      <c r="X176" s="55"/>
      <c r="Y176" s="55"/>
      <c r="Z176" s="55"/>
      <c r="AA176" s="154"/>
    </row>
    <row r="177" spans="1:32" s="120" customFormat="1" ht="40.200000000000003" customHeight="1">
      <c r="A177" s="70">
        <f>MAX(A$14:$A176)+1</f>
        <v>154</v>
      </c>
      <c r="B177" s="134" t="s">
        <v>956</v>
      </c>
      <c r="C177" s="129" t="s">
        <v>632</v>
      </c>
      <c r="D177" s="78" t="s">
        <v>84</v>
      </c>
      <c r="E177" s="78" t="s">
        <v>84</v>
      </c>
      <c r="F177" s="130" t="s">
        <v>353</v>
      </c>
      <c r="G177" s="78" t="s">
        <v>957</v>
      </c>
      <c r="H177" s="138" t="s">
        <v>958</v>
      </c>
      <c r="I177" s="78" t="s">
        <v>668</v>
      </c>
      <c r="J177" s="148"/>
      <c r="K177" s="131">
        <v>25000</v>
      </c>
      <c r="L177" s="131"/>
      <c r="M177" s="131">
        <v>25000</v>
      </c>
      <c r="N177" s="149"/>
      <c r="O177" s="150"/>
      <c r="P177" s="150"/>
      <c r="Q177" s="151"/>
      <c r="R177" s="152"/>
      <c r="S177" s="131">
        <v>25000</v>
      </c>
      <c r="T177" s="131"/>
      <c r="U177" s="131"/>
      <c r="V177" s="153"/>
      <c r="W177" s="55"/>
      <c r="X177" s="55"/>
      <c r="Y177" s="55"/>
      <c r="Z177" s="55"/>
      <c r="AA177" s="154"/>
    </row>
    <row r="178" spans="1:32" s="120" customFormat="1" ht="40.200000000000003" customHeight="1">
      <c r="A178" s="70">
        <f>MAX(A$14:$A177)+1</f>
        <v>155</v>
      </c>
      <c r="B178" s="134" t="s">
        <v>959</v>
      </c>
      <c r="C178" s="129" t="s">
        <v>632</v>
      </c>
      <c r="D178" s="78" t="s">
        <v>84</v>
      </c>
      <c r="E178" s="78" t="s">
        <v>84</v>
      </c>
      <c r="F178" s="130" t="s">
        <v>352</v>
      </c>
      <c r="G178" s="78" t="s">
        <v>957</v>
      </c>
      <c r="H178" s="138" t="s">
        <v>941</v>
      </c>
      <c r="I178" s="78" t="s">
        <v>668</v>
      </c>
      <c r="J178" s="148"/>
      <c r="K178" s="131">
        <v>25000</v>
      </c>
      <c r="L178" s="131"/>
      <c r="M178" s="131">
        <v>25000</v>
      </c>
      <c r="N178" s="149"/>
      <c r="O178" s="150"/>
      <c r="P178" s="150"/>
      <c r="Q178" s="151"/>
      <c r="R178" s="152"/>
      <c r="S178" s="131">
        <v>25000</v>
      </c>
      <c r="T178" s="131"/>
      <c r="U178" s="131"/>
      <c r="V178" s="153"/>
      <c r="W178" s="55"/>
      <c r="X178" s="55"/>
      <c r="Y178" s="55"/>
      <c r="Z178" s="55"/>
      <c r="AA178" s="154"/>
    </row>
    <row r="179" spans="1:32" s="120" customFormat="1" ht="40.200000000000003" customHeight="1">
      <c r="A179" s="70">
        <f>MAX(A$14:$A178)+1</f>
        <v>156</v>
      </c>
      <c r="B179" s="134" t="s">
        <v>960</v>
      </c>
      <c r="C179" s="129" t="s">
        <v>632</v>
      </c>
      <c r="D179" s="78" t="s">
        <v>84</v>
      </c>
      <c r="E179" s="78" t="s">
        <v>84</v>
      </c>
      <c r="F179" s="130" t="s">
        <v>353</v>
      </c>
      <c r="G179" s="78" t="s">
        <v>961</v>
      </c>
      <c r="H179" s="138" t="s">
        <v>941</v>
      </c>
      <c r="I179" s="78" t="s">
        <v>568</v>
      </c>
      <c r="J179" s="148"/>
      <c r="K179" s="131">
        <v>14000</v>
      </c>
      <c r="L179" s="131"/>
      <c r="M179" s="131">
        <v>14000</v>
      </c>
      <c r="N179" s="149"/>
      <c r="O179" s="150"/>
      <c r="P179" s="150"/>
      <c r="Q179" s="151"/>
      <c r="R179" s="152"/>
      <c r="S179" s="131">
        <v>14000</v>
      </c>
      <c r="T179" s="131">
        <v>7000</v>
      </c>
      <c r="U179" s="131">
        <v>7000</v>
      </c>
      <c r="V179" s="153"/>
      <c r="W179" s="55"/>
      <c r="X179" s="55"/>
      <c r="Y179" s="55"/>
      <c r="Z179" s="55"/>
      <c r="AA179" s="154"/>
    </row>
    <row r="180" spans="1:32" s="120" customFormat="1" ht="40.200000000000003" customHeight="1">
      <c r="A180" s="70">
        <f>MAX(A$14:$A179)+1</f>
        <v>157</v>
      </c>
      <c r="B180" s="134" t="s">
        <v>962</v>
      </c>
      <c r="C180" s="129" t="s">
        <v>632</v>
      </c>
      <c r="D180" s="78" t="s">
        <v>84</v>
      </c>
      <c r="E180" s="78" t="s">
        <v>84</v>
      </c>
      <c r="F180" s="130" t="s">
        <v>352</v>
      </c>
      <c r="G180" s="78" t="s">
        <v>957</v>
      </c>
      <c r="H180" s="138" t="s">
        <v>941</v>
      </c>
      <c r="I180" s="78" t="s">
        <v>568</v>
      </c>
      <c r="J180" s="148"/>
      <c r="K180" s="131">
        <v>25000</v>
      </c>
      <c r="L180" s="131"/>
      <c r="M180" s="131">
        <v>25000</v>
      </c>
      <c r="N180" s="149"/>
      <c r="O180" s="150"/>
      <c r="P180" s="150"/>
      <c r="Q180" s="151"/>
      <c r="R180" s="152"/>
      <c r="S180" s="131">
        <v>25000</v>
      </c>
      <c r="T180" s="131">
        <v>12500</v>
      </c>
      <c r="U180" s="131">
        <v>12500</v>
      </c>
      <c r="V180" s="153"/>
      <c r="W180" s="55"/>
      <c r="X180" s="55"/>
      <c r="Y180" s="55"/>
      <c r="Z180" s="55"/>
      <c r="AA180" s="154"/>
    </row>
    <row r="181" spans="1:32" s="121" customFormat="1" ht="40.200000000000003" customHeight="1">
      <c r="A181" s="70">
        <f>MAX(A$14:$A180)+1</f>
        <v>158</v>
      </c>
      <c r="B181" s="77" t="s">
        <v>963</v>
      </c>
      <c r="C181" s="129" t="s">
        <v>632</v>
      </c>
      <c r="D181" s="78" t="s">
        <v>84</v>
      </c>
      <c r="E181" s="78" t="s">
        <v>84</v>
      </c>
      <c r="F181" s="130" t="s">
        <v>703</v>
      </c>
      <c r="G181" s="78" t="s">
        <v>964</v>
      </c>
      <c r="H181" s="138" t="s">
        <v>965</v>
      </c>
      <c r="I181" s="78" t="s">
        <v>612</v>
      </c>
      <c r="J181" s="131"/>
      <c r="K181" s="131">
        <v>20000</v>
      </c>
      <c r="L181" s="111"/>
      <c r="M181" s="131">
        <v>20000</v>
      </c>
      <c r="N181" s="136"/>
      <c r="O181" s="136"/>
      <c r="P181" s="136"/>
      <c r="Q181" s="136"/>
      <c r="R181" s="136"/>
      <c r="S181" s="131">
        <v>20000</v>
      </c>
      <c r="T181" s="111"/>
      <c r="U181" s="111"/>
      <c r="V181" s="137"/>
      <c r="W181" s="55"/>
      <c r="X181" s="55"/>
      <c r="Y181" s="55"/>
      <c r="Z181" s="55"/>
      <c r="AA181" s="119"/>
      <c r="AB181" s="120"/>
      <c r="AC181" s="120"/>
      <c r="AD181" s="120"/>
      <c r="AE181" s="120"/>
      <c r="AF181" s="120"/>
    </row>
    <row r="182" spans="1:32" s="121" customFormat="1" ht="40.200000000000003" customHeight="1">
      <c r="A182" s="70">
        <f>MAX(A$14:$A181)+1</f>
        <v>159</v>
      </c>
      <c r="B182" s="77" t="s">
        <v>966</v>
      </c>
      <c r="C182" s="129" t="s">
        <v>632</v>
      </c>
      <c r="D182" s="78" t="s">
        <v>84</v>
      </c>
      <c r="E182" s="78" t="s">
        <v>84</v>
      </c>
      <c r="F182" s="130" t="s">
        <v>721</v>
      </c>
      <c r="G182" s="78" t="s">
        <v>967</v>
      </c>
      <c r="H182" s="138"/>
      <c r="I182" s="78" t="s">
        <v>568</v>
      </c>
      <c r="J182" s="131"/>
      <c r="K182" s="131">
        <v>50000</v>
      </c>
      <c r="L182" s="111"/>
      <c r="M182" s="131">
        <v>50000</v>
      </c>
      <c r="N182" s="136"/>
      <c r="O182" s="136"/>
      <c r="P182" s="136"/>
      <c r="Q182" s="136"/>
      <c r="R182" s="136"/>
      <c r="S182" s="131">
        <v>50000</v>
      </c>
      <c r="T182" s="111">
        <v>20300</v>
      </c>
      <c r="U182" s="111">
        <v>20300</v>
      </c>
      <c r="V182" s="137"/>
      <c r="W182" s="55"/>
      <c r="X182" s="55"/>
      <c r="Y182" s="55"/>
      <c r="Z182" s="55"/>
      <c r="AA182" s="119"/>
      <c r="AB182" s="120"/>
      <c r="AC182" s="120"/>
      <c r="AD182" s="120"/>
      <c r="AE182" s="120"/>
      <c r="AF182" s="120"/>
    </row>
    <row r="183" spans="1:32" s="121" customFormat="1" ht="40.200000000000003" customHeight="1">
      <c r="A183" s="70">
        <f>MAX(A$14:$A182)+1</f>
        <v>160</v>
      </c>
      <c r="B183" s="77" t="s">
        <v>968</v>
      </c>
      <c r="C183" s="129" t="s">
        <v>632</v>
      </c>
      <c r="D183" s="78" t="s">
        <v>84</v>
      </c>
      <c r="E183" s="78" t="s">
        <v>84</v>
      </c>
      <c r="F183" s="130" t="s">
        <v>969</v>
      </c>
      <c r="G183" s="78" t="s">
        <v>970</v>
      </c>
      <c r="H183" s="138"/>
      <c r="I183" s="78" t="s">
        <v>668</v>
      </c>
      <c r="J183" s="131"/>
      <c r="K183" s="131">
        <v>80000</v>
      </c>
      <c r="L183" s="111"/>
      <c r="M183" s="131">
        <f>K183</f>
        <v>80000</v>
      </c>
      <c r="N183" s="136"/>
      <c r="O183" s="136"/>
      <c r="P183" s="136"/>
      <c r="Q183" s="136"/>
      <c r="R183" s="136"/>
      <c r="S183" s="131">
        <v>80000</v>
      </c>
      <c r="T183" s="111">
        <v>50</v>
      </c>
      <c r="U183" s="111">
        <v>50</v>
      </c>
      <c r="V183" s="137"/>
      <c r="W183" s="55"/>
      <c r="X183" s="55"/>
      <c r="Y183" s="55"/>
      <c r="Z183" s="55"/>
      <c r="AA183" s="119"/>
      <c r="AB183" s="120"/>
      <c r="AC183" s="120"/>
      <c r="AD183" s="120"/>
      <c r="AE183" s="120"/>
      <c r="AF183" s="120"/>
    </row>
    <row r="184" spans="1:32" s="120" customFormat="1" ht="40.200000000000003" customHeight="1">
      <c r="A184" s="70">
        <f>MAX(A$14:$A183)+1</f>
        <v>161</v>
      </c>
      <c r="B184" s="134" t="s">
        <v>971</v>
      </c>
      <c r="C184" s="129" t="s">
        <v>632</v>
      </c>
      <c r="D184" s="78" t="s">
        <v>84</v>
      </c>
      <c r="E184" s="78" t="s">
        <v>84</v>
      </c>
      <c r="F184" s="130" t="s">
        <v>341</v>
      </c>
      <c r="G184" s="78" t="s">
        <v>972</v>
      </c>
      <c r="H184" s="138" t="s">
        <v>973</v>
      </c>
      <c r="I184" s="78" t="s">
        <v>547</v>
      </c>
      <c r="J184" s="148"/>
      <c r="K184" s="131">
        <v>90000</v>
      </c>
      <c r="L184" s="131"/>
      <c r="M184" s="131">
        <v>90000</v>
      </c>
      <c r="N184" s="149"/>
      <c r="O184" s="150"/>
      <c r="P184" s="150"/>
      <c r="Q184" s="151"/>
      <c r="R184" s="152"/>
      <c r="S184" s="131">
        <v>90000</v>
      </c>
      <c r="T184" s="131"/>
      <c r="U184" s="131"/>
      <c r="V184" s="153"/>
      <c r="W184" s="55"/>
      <c r="X184" s="55"/>
      <c r="Y184" s="55"/>
      <c r="Z184" s="55"/>
      <c r="AA184" s="154"/>
    </row>
    <row r="185" spans="1:32" s="121" customFormat="1" ht="40.200000000000003" customHeight="1">
      <c r="A185" s="70">
        <f>MAX(A$14:$A184)+1</f>
        <v>162</v>
      </c>
      <c r="B185" s="77" t="s">
        <v>974</v>
      </c>
      <c r="C185" s="129" t="s">
        <v>632</v>
      </c>
      <c r="D185" s="78" t="s">
        <v>84</v>
      </c>
      <c r="E185" s="78" t="s">
        <v>84</v>
      </c>
      <c r="F185" s="130" t="s">
        <v>718</v>
      </c>
      <c r="G185" s="78" t="s">
        <v>975</v>
      </c>
      <c r="H185" s="138" t="s">
        <v>976</v>
      </c>
      <c r="I185" s="78" t="s">
        <v>612</v>
      </c>
      <c r="J185" s="131"/>
      <c r="K185" s="131">
        <v>70000</v>
      </c>
      <c r="L185" s="111"/>
      <c r="M185" s="131">
        <f>K185</f>
        <v>70000</v>
      </c>
      <c r="N185" s="136"/>
      <c r="O185" s="136"/>
      <c r="P185" s="136"/>
      <c r="Q185" s="136"/>
      <c r="R185" s="136"/>
      <c r="S185" s="131">
        <v>70000</v>
      </c>
      <c r="T185" s="111">
        <v>20300</v>
      </c>
      <c r="U185" s="111">
        <v>20300</v>
      </c>
      <c r="V185" s="137"/>
      <c r="W185" s="55"/>
      <c r="X185" s="55"/>
      <c r="Y185" s="55"/>
      <c r="Z185" s="55"/>
      <c r="AA185" s="119"/>
      <c r="AB185" s="120"/>
      <c r="AC185" s="120"/>
      <c r="AD185" s="120"/>
      <c r="AE185" s="120"/>
      <c r="AF185" s="120"/>
    </row>
    <row r="186" spans="1:32" s="121" customFormat="1" ht="40.200000000000003" customHeight="1">
      <c r="A186" s="70">
        <f>MAX(A$14:$A185)+1</f>
        <v>163</v>
      </c>
      <c r="B186" s="77" t="s">
        <v>977</v>
      </c>
      <c r="C186" s="129" t="s">
        <v>632</v>
      </c>
      <c r="D186" s="78" t="s">
        <v>47</v>
      </c>
      <c r="E186" s="78" t="s">
        <v>47</v>
      </c>
      <c r="F186" s="130" t="s">
        <v>718</v>
      </c>
      <c r="G186" s="78" t="s">
        <v>978</v>
      </c>
      <c r="H186" s="138"/>
      <c r="I186" s="78" t="s">
        <v>547</v>
      </c>
      <c r="J186" s="131"/>
      <c r="K186" s="131">
        <v>250000</v>
      </c>
      <c r="L186" s="111"/>
      <c r="M186" s="131">
        <f>K186</f>
        <v>250000</v>
      </c>
      <c r="N186" s="136"/>
      <c r="O186" s="136"/>
      <c r="P186" s="136"/>
      <c r="Q186" s="136"/>
      <c r="R186" s="136"/>
      <c r="S186" s="131">
        <v>250000</v>
      </c>
      <c r="T186" s="111">
        <v>400</v>
      </c>
      <c r="U186" s="111">
        <v>400</v>
      </c>
      <c r="V186" s="137"/>
      <c r="W186" s="55"/>
      <c r="X186" s="55"/>
      <c r="Y186" s="55"/>
      <c r="Z186" s="55"/>
      <c r="AA186" s="119"/>
      <c r="AB186" s="120"/>
      <c r="AC186" s="120"/>
      <c r="AD186" s="120"/>
      <c r="AE186" s="120"/>
      <c r="AF186" s="120"/>
    </row>
    <row r="187" spans="1:32" s="120" customFormat="1" ht="40.200000000000003" customHeight="1">
      <c r="A187" s="70">
        <f>MAX(A$14:$A186)+1</f>
        <v>164</v>
      </c>
      <c r="B187" s="134" t="s">
        <v>979</v>
      </c>
      <c r="C187" s="129" t="s">
        <v>632</v>
      </c>
      <c r="D187" s="78" t="s">
        <v>84</v>
      </c>
      <c r="E187" s="78" t="s">
        <v>84</v>
      </c>
      <c r="F187" s="130" t="s">
        <v>352</v>
      </c>
      <c r="G187" s="78" t="s">
        <v>980</v>
      </c>
      <c r="H187" s="138" t="s">
        <v>981</v>
      </c>
      <c r="I187" s="78" t="s">
        <v>568</v>
      </c>
      <c r="J187" s="148"/>
      <c r="K187" s="131">
        <v>50000</v>
      </c>
      <c r="L187" s="131"/>
      <c r="M187" s="131">
        <v>50000</v>
      </c>
      <c r="N187" s="149"/>
      <c r="O187" s="150"/>
      <c r="P187" s="150"/>
      <c r="Q187" s="151"/>
      <c r="R187" s="152"/>
      <c r="S187" s="131">
        <v>50000</v>
      </c>
      <c r="T187" s="131">
        <v>25000</v>
      </c>
      <c r="U187" s="131">
        <v>25000</v>
      </c>
      <c r="V187" s="153"/>
      <c r="W187" s="55"/>
      <c r="X187" s="55"/>
      <c r="Y187" s="55"/>
      <c r="Z187" s="55"/>
      <c r="AA187" s="154"/>
    </row>
    <row r="188" spans="1:32" s="120" customFormat="1" ht="40.200000000000003" customHeight="1">
      <c r="A188" s="70">
        <f>MAX(A$14:$A187)+1</f>
        <v>165</v>
      </c>
      <c r="B188" s="134" t="s">
        <v>982</v>
      </c>
      <c r="C188" s="129" t="s">
        <v>632</v>
      </c>
      <c r="D188" s="78" t="s">
        <v>84</v>
      </c>
      <c r="E188" s="78" t="s">
        <v>84</v>
      </c>
      <c r="F188" s="130" t="s">
        <v>352</v>
      </c>
      <c r="G188" s="78" t="s">
        <v>983</v>
      </c>
      <c r="H188" s="127" t="s">
        <v>941</v>
      </c>
      <c r="I188" s="78" t="s">
        <v>568</v>
      </c>
      <c r="J188" s="148"/>
      <c r="K188" s="131">
        <v>25000</v>
      </c>
      <c r="L188" s="131"/>
      <c r="M188" s="131">
        <v>25000</v>
      </c>
      <c r="N188" s="149"/>
      <c r="O188" s="150"/>
      <c r="P188" s="150"/>
      <c r="Q188" s="151"/>
      <c r="R188" s="152"/>
      <c r="S188" s="131">
        <v>25000</v>
      </c>
      <c r="T188" s="131">
        <v>12500</v>
      </c>
      <c r="U188" s="131">
        <v>12500</v>
      </c>
      <c r="V188" s="153"/>
      <c r="W188" s="55"/>
      <c r="X188" s="55"/>
      <c r="Y188" s="55"/>
      <c r="Z188" s="55"/>
      <c r="AA188" s="154"/>
    </row>
    <row r="189" spans="1:32" s="120" customFormat="1" ht="40.200000000000003" customHeight="1">
      <c r="A189" s="70">
        <f>MAX(A$14:$A188)+1</f>
        <v>166</v>
      </c>
      <c r="B189" s="134" t="s">
        <v>984</v>
      </c>
      <c r="C189" s="129" t="s">
        <v>632</v>
      </c>
      <c r="D189" s="78" t="s">
        <v>84</v>
      </c>
      <c r="E189" s="78" t="s">
        <v>84</v>
      </c>
      <c r="F189" s="130" t="s">
        <v>352</v>
      </c>
      <c r="G189" s="78" t="s">
        <v>943</v>
      </c>
      <c r="H189" s="127" t="s">
        <v>941</v>
      </c>
      <c r="I189" s="78" t="s">
        <v>568</v>
      </c>
      <c r="J189" s="148"/>
      <c r="K189" s="131">
        <v>60000</v>
      </c>
      <c r="L189" s="131"/>
      <c r="M189" s="131">
        <v>60000</v>
      </c>
      <c r="N189" s="149"/>
      <c r="O189" s="150"/>
      <c r="P189" s="150"/>
      <c r="Q189" s="151"/>
      <c r="R189" s="152"/>
      <c r="S189" s="131">
        <v>60000</v>
      </c>
      <c r="T189" s="131">
        <v>30000</v>
      </c>
      <c r="U189" s="131">
        <v>30000</v>
      </c>
      <c r="V189" s="153"/>
      <c r="W189" s="55"/>
      <c r="X189" s="55"/>
      <c r="Y189" s="55"/>
      <c r="Z189" s="55"/>
      <c r="AA189" s="154"/>
    </row>
    <row r="190" spans="1:32" s="120" customFormat="1" ht="40.200000000000003" customHeight="1">
      <c r="A190" s="70">
        <f>MAX(A$14:$A189)+1</f>
        <v>167</v>
      </c>
      <c r="B190" s="134" t="s">
        <v>985</v>
      </c>
      <c r="C190" s="129" t="s">
        <v>632</v>
      </c>
      <c r="D190" s="78" t="s">
        <v>47</v>
      </c>
      <c r="E190" s="78"/>
      <c r="F190" s="130" t="s">
        <v>326</v>
      </c>
      <c r="G190" s="78" t="s">
        <v>986</v>
      </c>
      <c r="H190" s="138" t="s">
        <v>987</v>
      </c>
      <c r="I190" s="78" t="s">
        <v>416</v>
      </c>
      <c r="J190" s="148"/>
      <c r="K190" s="131">
        <v>500000</v>
      </c>
      <c r="L190" s="131">
        <v>0</v>
      </c>
      <c r="M190" s="131">
        <v>500000</v>
      </c>
      <c r="N190" s="149"/>
      <c r="O190" s="150"/>
      <c r="P190" s="150"/>
      <c r="Q190" s="151"/>
      <c r="R190" s="152"/>
      <c r="S190" s="131">
        <v>300000</v>
      </c>
      <c r="T190" s="131">
        <v>1000</v>
      </c>
      <c r="U190" s="131">
        <v>1000</v>
      </c>
      <c r="V190" s="153"/>
      <c r="W190" s="55"/>
      <c r="X190" s="55"/>
      <c r="Y190" s="55"/>
      <c r="Z190" s="55"/>
      <c r="AA190" s="154"/>
    </row>
    <row r="191" spans="1:32" s="120" customFormat="1" ht="40.200000000000003" customHeight="1">
      <c r="A191" s="70">
        <f>MAX(A$14:$A190)+1</f>
        <v>168</v>
      </c>
      <c r="B191" s="134" t="s">
        <v>988</v>
      </c>
      <c r="C191" s="129" t="s">
        <v>632</v>
      </c>
      <c r="D191" s="78" t="s">
        <v>84</v>
      </c>
      <c r="E191" s="78"/>
      <c r="F191" s="130" t="s">
        <v>343</v>
      </c>
      <c r="G191" s="78" t="s">
        <v>989</v>
      </c>
      <c r="H191" s="138" t="s">
        <v>990</v>
      </c>
      <c r="I191" s="78" t="s">
        <v>607</v>
      </c>
      <c r="J191" s="148"/>
      <c r="K191" s="131">
        <v>4500</v>
      </c>
      <c r="L191" s="131"/>
      <c r="M191" s="131">
        <v>4500</v>
      </c>
      <c r="N191" s="149"/>
      <c r="O191" s="150"/>
      <c r="P191" s="150"/>
      <c r="Q191" s="151"/>
      <c r="R191" s="152"/>
      <c r="S191" s="131">
        <v>4500</v>
      </c>
      <c r="T191" s="131">
        <v>4500</v>
      </c>
      <c r="U191" s="131">
        <v>4500</v>
      </c>
      <c r="V191" s="153"/>
      <c r="W191" s="55"/>
      <c r="X191" s="55"/>
      <c r="Y191" s="55"/>
      <c r="Z191" s="55"/>
      <c r="AA191" s="154"/>
    </row>
    <row r="192" spans="1:32" s="120" customFormat="1" ht="40.200000000000003" customHeight="1">
      <c r="A192" s="70">
        <f>MAX(A$14:$A191)+1</f>
        <v>169</v>
      </c>
      <c r="B192" s="134" t="s">
        <v>991</v>
      </c>
      <c r="C192" s="129" t="s">
        <v>632</v>
      </c>
      <c r="D192" s="78" t="s">
        <v>84</v>
      </c>
      <c r="E192" s="78"/>
      <c r="F192" s="130" t="s">
        <v>344</v>
      </c>
      <c r="G192" s="78" t="s">
        <v>992</v>
      </c>
      <c r="H192" s="138" t="s">
        <v>993</v>
      </c>
      <c r="I192" s="78" t="s">
        <v>607</v>
      </c>
      <c r="J192" s="148"/>
      <c r="K192" s="131">
        <v>30000</v>
      </c>
      <c r="L192" s="131"/>
      <c r="M192" s="131">
        <v>30000</v>
      </c>
      <c r="N192" s="149"/>
      <c r="O192" s="150"/>
      <c r="P192" s="150"/>
      <c r="Q192" s="151"/>
      <c r="R192" s="152"/>
      <c r="S192" s="131">
        <v>30000</v>
      </c>
      <c r="T192" s="131">
        <v>15000</v>
      </c>
      <c r="U192" s="131">
        <v>15000</v>
      </c>
      <c r="V192" s="153"/>
      <c r="W192" s="55"/>
      <c r="X192" s="55"/>
      <c r="Y192" s="55"/>
      <c r="Z192" s="55"/>
      <c r="AA192" s="154"/>
    </row>
    <row r="193" spans="1:27" s="120" customFormat="1" ht="40.200000000000003" customHeight="1">
      <c r="A193" s="70">
        <f>MAX(A$14:$A192)+1</f>
        <v>170</v>
      </c>
      <c r="B193" s="134" t="s">
        <v>994</v>
      </c>
      <c r="C193" s="129" t="s">
        <v>632</v>
      </c>
      <c r="D193" s="78" t="s">
        <v>84</v>
      </c>
      <c r="E193" s="78"/>
      <c r="F193" s="130" t="s">
        <v>344</v>
      </c>
      <c r="G193" s="78" t="s">
        <v>995</v>
      </c>
      <c r="H193" s="138" t="s">
        <v>996</v>
      </c>
      <c r="I193" s="78" t="s">
        <v>568</v>
      </c>
      <c r="J193" s="148"/>
      <c r="K193" s="131">
        <v>40000</v>
      </c>
      <c r="L193" s="131"/>
      <c r="M193" s="131">
        <v>40000</v>
      </c>
      <c r="N193" s="149"/>
      <c r="O193" s="150"/>
      <c r="P193" s="150"/>
      <c r="Q193" s="151"/>
      <c r="R193" s="152"/>
      <c r="S193" s="131">
        <v>40000</v>
      </c>
      <c r="T193" s="131"/>
      <c r="U193" s="131"/>
      <c r="V193" s="153"/>
      <c r="W193" s="55"/>
      <c r="X193" s="55"/>
      <c r="Y193" s="55"/>
      <c r="Z193" s="55"/>
      <c r="AA193" s="154"/>
    </row>
    <row r="194" spans="1:27" s="120" customFormat="1" ht="40.200000000000003" customHeight="1">
      <c r="A194" s="70">
        <f>MAX(A$14:$A193)+1</f>
        <v>171</v>
      </c>
      <c r="B194" s="134" t="s">
        <v>997</v>
      </c>
      <c r="C194" s="129" t="s">
        <v>125</v>
      </c>
      <c r="D194" s="78" t="s">
        <v>84</v>
      </c>
      <c r="E194" s="78"/>
      <c r="F194" s="130" t="s">
        <v>341</v>
      </c>
      <c r="G194" s="78" t="s">
        <v>998</v>
      </c>
      <c r="H194" s="138" t="s">
        <v>999</v>
      </c>
      <c r="I194" s="78" t="s">
        <v>668</v>
      </c>
      <c r="J194" s="148"/>
      <c r="K194" s="131">
        <v>50000</v>
      </c>
      <c r="L194" s="131"/>
      <c r="M194" s="131">
        <v>50000</v>
      </c>
      <c r="N194" s="149"/>
      <c r="O194" s="150"/>
      <c r="P194" s="150"/>
      <c r="Q194" s="151"/>
      <c r="R194" s="152"/>
      <c r="S194" s="131">
        <v>50000</v>
      </c>
      <c r="T194" s="131"/>
      <c r="U194" s="131"/>
      <c r="V194" s="153"/>
      <c r="W194" s="55"/>
      <c r="X194" s="55"/>
      <c r="Y194" s="55"/>
      <c r="Z194" s="55"/>
      <c r="AA194" s="154"/>
    </row>
    <row r="195" spans="1:27" s="120" customFormat="1" ht="40.200000000000003" customHeight="1">
      <c r="A195" s="70">
        <f>MAX(A$14:$A194)+1</f>
        <v>172</v>
      </c>
      <c r="B195" s="134" t="s">
        <v>1000</v>
      </c>
      <c r="C195" s="129" t="s">
        <v>632</v>
      </c>
      <c r="D195" s="78" t="s">
        <v>84</v>
      </c>
      <c r="E195" s="78"/>
      <c r="F195" s="130" t="s">
        <v>342</v>
      </c>
      <c r="G195" s="78" t="s">
        <v>1001</v>
      </c>
      <c r="H195" s="138" t="s">
        <v>1002</v>
      </c>
      <c r="I195" s="78" t="s">
        <v>728</v>
      </c>
      <c r="J195" s="148"/>
      <c r="K195" s="131">
        <v>6000</v>
      </c>
      <c r="L195" s="131"/>
      <c r="M195" s="131">
        <v>6000</v>
      </c>
      <c r="N195" s="149"/>
      <c r="O195" s="150"/>
      <c r="P195" s="150"/>
      <c r="Q195" s="151"/>
      <c r="R195" s="152"/>
      <c r="S195" s="131">
        <v>6000</v>
      </c>
      <c r="T195" s="131"/>
      <c r="U195" s="131"/>
      <c r="V195" s="153"/>
      <c r="W195" s="55"/>
      <c r="X195" s="55"/>
      <c r="Y195" s="55"/>
      <c r="Z195" s="55"/>
      <c r="AA195" s="154"/>
    </row>
    <row r="196" spans="1:27" s="120" customFormat="1" ht="40.200000000000003" customHeight="1">
      <c r="A196" s="70">
        <f>MAX(A$14:$A195)+1</f>
        <v>173</v>
      </c>
      <c r="B196" s="134" t="s">
        <v>1003</v>
      </c>
      <c r="C196" s="129" t="s">
        <v>632</v>
      </c>
      <c r="D196" s="78" t="s">
        <v>84</v>
      </c>
      <c r="E196" s="78"/>
      <c r="F196" s="130" t="s">
        <v>342</v>
      </c>
      <c r="G196" s="78" t="s">
        <v>1004</v>
      </c>
      <c r="H196" s="138" t="s">
        <v>1005</v>
      </c>
      <c r="I196" s="78" t="s">
        <v>728</v>
      </c>
      <c r="J196" s="148"/>
      <c r="K196" s="131">
        <v>10000</v>
      </c>
      <c r="L196" s="131"/>
      <c r="M196" s="131">
        <v>10000</v>
      </c>
      <c r="N196" s="149"/>
      <c r="O196" s="150"/>
      <c r="P196" s="150"/>
      <c r="Q196" s="151"/>
      <c r="R196" s="152"/>
      <c r="S196" s="131">
        <v>10000</v>
      </c>
      <c r="T196" s="131"/>
      <c r="U196" s="131"/>
      <c r="V196" s="153"/>
      <c r="W196" s="55"/>
      <c r="X196" s="55"/>
      <c r="Y196" s="55"/>
      <c r="Z196" s="55"/>
      <c r="AA196" s="154"/>
    </row>
    <row r="197" spans="1:27" s="120" customFormat="1" ht="40.200000000000003" customHeight="1">
      <c r="A197" s="70">
        <f>MAX(A$14:$A196)+1</f>
        <v>174</v>
      </c>
      <c r="B197" s="134" t="s">
        <v>1006</v>
      </c>
      <c r="C197" s="129" t="s">
        <v>632</v>
      </c>
      <c r="D197" s="78" t="s">
        <v>84</v>
      </c>
      <c r="E197" s="78"/>
      <c r="F197" s="130" t="s">
        <v>342</v>
      </c>
      <c r="G197" s="78" t="s">
        <v>1004</v>
      </c>
      <c r="H197" s="138" t="s">
        <v>1005</v>
      </c>
      <c r="I197" s="78" t="s">
        <v>738</v>
      </c>
      <c r="J197" s="148"/>
      <c r="K197" s="131">
        <v>10000</v>
      </c>
      <c r="L197" s="131"/>
      <c r="M197" s="131">
        <v>10000</v>
      </c>
      <c r="N197" s="149"/>
      <c r="O197" s="150"/>
      <c r="P197" s="150"/>
      <c r="Q197" s="151"/>
      <c r="R197" s="152"/>
      <c r="S197" s="131">
        <v>10000</v>
      </c>
      <c r="T197" s="131"/>
      <c r="U197" s="131"/>
      <c r="V197" s="153"/>
      <c r="W197" s="55"/>
      <c r="X197" s="55"/>
      <c r="Y197" s="55"/>
      <c r="Z197" s="55"/>
      <c r="AA197" s="154"/>
    </row>
    <row r="198" spans="1:27" s="120" customFormat="1" ht="40.200000000000003" customHeight="1">
      <c r="A198" s="70">
        <f>MAX(A$14:$A197)+1</f>
        <v>175</v>
      </c>
      <c r="B198" s="134" t="s">
        <v>1007</v>
      </c>
      <c r="C198" s="129" t="s">
        <v>632</v>
      </c>
      <c r="D198" s="78" t="s">
        <v>84</v>
      </c>
      <c r="E198" s="78"/>
      <c r="F198" s="130" t="s">
        <v>342</v>
      </c>
      <c r="G198" s="78" t="s">
        <v>813</v>
      </c>
      <c r="H198" s="138" t="s">
        <v>1005</v>
      </c>
      <c r="I198" s="78" t="s">
        <v>738</v>
      </c>
      <c r="J198" s="148"/>
      <c r="K198" s="131">
        <v>6000</v>
      </c>
      <c r="L198" s="131"/>
      <c r="M198" s="131">
        <v>6000</v>
      </c>
      <c r="N198" s="149"/>
      <c r="O198" s="150"/>
      <c r="P198" s="150"/>
      <c r="Q198" s="151"/>
      <c r="R198" s="152"/>
      <c r="S198" s="131">
        <v>6000</v>
      </c>
      <c r="T198" s="131"/>
      <c r="U198" s="131"/>
      <c r="V198" s="153"/>
      <c r="W198" s="55"/>
      <c r="X198" s="55"/>
      <c r="Y198" s="55"/>
      <c r="Z198" s="55"/>
      <c r="AA198" s="154"/>
    </row>
    <row r="199" spans="1:27" s="120" customFormat="1" ht="40.200000000000003" customHeight="1">
      <c r="A199" s="70">
        <f>MAX(A$14:$A198)+1</f>
        <v>176</v>
      </c>
      <c r="B199" s="134" t="s">
        <v>1008</v>
      </c>
      <c r="C199" s="129" t="s">
        <v>632</v>
      </c>
      <c r="D199" s="78" t="s">
        <v>84</v>
      </c>
      <c r="E199" s="78"/>
      <c r="F199" s="130" t="s">
        <v>342</v>
      </c>
      <c r="G199" s="78" t="s">
        <v>1009</v>
      </c>
      <c r="H199" s="138" t="s">
        <v>1005</v>
      </c>
      <c r="I199" s="78" t="s">
        <v>738</v>
      </c>
      <c r="J199" s="148"/>
      <c r="K199" s="131">
        <v>20000</v>
      </c>
      <c r="L199" s="131"/>
      <c r="M199" s="131">
        <v>20000</v>
      </c>
      <c r="N199" s="149"/>
      <c r="O199" s="150"/>
      <c r="P199" s="150"/>
      <c r="Q199" s="151"/>
      <c r="R199" s="152"/>
      <c r="S199" s="131">
        <v>20000</v>
      </c>
      <c r="T199" s="131"/>
      <c r="U199" s="131"/>
      <c r="V199" s="153"/>
      <c r="W199" s="55"/>
      <c r="X199" s="55"/>
      <c r="Y199" s="55"/>
      <c r="Z199" s="55"/>
      <c r="AA199" s="154"/>
    </row>
    <row r="200" spans="1:27" s="120" customFormat="1" ht="40.200000000000003" customHeight="1">
      <c r="A200" s="70">
        <f>MAX(A$14:$A199)+1</f>
        <v>177</v>
      </c>
      <c r="B200" s="134" t="s">
        <v>1010</v>
      </c>
      <c r="C200" s="132" t="s">
        <v>1011</v>
      </c>
      <c r="D200" s="155" t="s">
        <v>84</v>
      </c>
      <c r="E200" s="155" t="s">
        <v>84</v>
      </c>
      <c r="F200" s="156" t="s">
        <v>1012</v>
      </c>
      <c r="G200" s="156" t="s">
        <v>1013</v>
      </c>
      <c r="H200" s="157" t="s">
        <v>1014</v>
      </c>
      <c r="I200" s="78">
        <v>2026</v>
      </c>
      <c r="J200" s="148"/>
      <c r="K200" s="131">
        <v>14500</v>
      </c>
      <c r="L200" s="131"/>
      <c r="M200" s="131">
        <v>14500</v>
      </c>
      <c r="N200" s="149"/>
      <c r="O200" s="150"/>
      <c r="P200" s="150"/>
      <c r="Q200" s="151"/>
      <c r="R200" s="152"/>
      <c r="S200" s="131">
        <v>14500</v>
      </c>
      <c r="T200" s="131">
        <v>14500</v>
      </c>
      <c r="U200" s="131"/>
      <c r="V200" s="153"/>
      <c r="W200" s="55"/>
      <c r="X200" s="55"/>
      <c r="Y200" s="55"/>
      <c r="Z200" s="55"/>
      <c r="AA200" s="154"/>
    </row>
    <row r="201" spans="1:27" s="120" customFormat="1" ht="40.200000000000003" customHeight="1">
      <c r="A201" s="70">
        <f>MAX(A$14:$A200)+1</f>
        <v>178</v>
      </c>
      <c r="B201" s="134" t="s">
        <v>1015</v>
      </c>
      <c r="C201" s="129" t="s">
        <v>632</v>
      </c>
      <c r="D201" s="155" t="s">
        <v>84</v>
      </c>
      <c r="E201" s="155" t="s">
        <v>84</v>
      </c>
      <c r="F201" s="156" t="s">
        <v>1012</v>
      </c>
      <c r="G201" s="156" t="s">
        <v>1016</v>
      </c>
      <c r="H201" s="157" t="s">
        <v>1014</v>
      </c>
      <c r="I201" s="78">
        <v>2026</v>
      </c>
      <c r="J201" s="148"/>
      <c r="K201" s="131">
        <v>16900</v>
      </c>
      <c r="L201" s="131"/>
      <c r="M201" s="131">
        <v>16900</v>
      </c>
      <c r="N201" s="149"/>
      <c r="O201" s="150"/>
      <c r="P201" s="150"/>
      <c r="Q201" s="151"/>
      <c r="R201" s="152"/>
      <c r="S201" s="131">
        <v>16900</v>
      </c>
      <c r="T201" s="131">
        <v>16900</v>
      </c>
      <c r="U201" s="131"/>
      <c r="V201" s="153"/>
      <c r="W201" s="55"/>
      <c r="X201" s="55"/>
      <c r="Y201" s="55"/>
      <c r="Z201" s="55"/>
      <c r="AA201" s="154"/>
    </row>
    <row r="202" spans="1:27" s="120" customFormat="1" ht="40.200000000000003" customHeight="1">
      <c r="A202" s="70">
        <f>MAX(A$14:$A201)+1</f>
        <v>179</v>
      </c>
      <c r="B202" s="134" t="s">
        <v>1017</v>
      </c>
      <c r="C202" s="129" t="s">
        <v>632</v>
      </c>
      <c r="D202" s="155" t="s">
        <v>84</v>
      </c>
      <c r="E202" s="155" t="s">
        <v>84</v>
      </c>
      <c r="F202" s="156" t="s">
        <v>1012</v>
      </c>
      <c r="G202" s="156" t="s">
        <v>1018</v>
      </c>
      <c r="H202" s="157" t="s">
        <v>1014</v>
      </c>
      <c r="I202" s="78">
        <v>2026</v>
      </c>
      <c r="J202" s="148"/>
      <c r="K202" s="131">
        <v>12000</v>
      </c>
      <c r="L202" s="131"/>
      <c r="M202" s="131">
        <v>12000</v>
      </c>
      <c r="N202" s="149"/>
      <c r="O202" s="150"/>
      <c r="P202" s="150"/>
      <c r="Q202" s="151"/>
      <c r="R202" s="152"/>
      <c r="S202" s="131">
        <v>12000</v>
      </c>
      <c r="T202" s="131">
        <v>12000</v>
      </c>
      <c r="U202" s="131"/>
      <c r="V202" s="153"/>
      <c r="W202" s="55"/>
      <c r="X202" s="55"/>
      <c r="Y202" s="55"/>
      <c r="Z202" s="55"/>
      <c r="AA202" s="154"/>
    </row>
    <row r="203" spans="1:27" s="120" customFormat="1" ht="40.200000000000003" customHeight="1">
      <c r="A203" s="70">
        <f>MAX(A$14:$A202)+1</f>
        <v>180</v>
      </c>
      <c r="B203" s="134" t="s">
        <v>1019</v>
      </c>
      <c r="C203" s="129" t="s">
        <v>632</v>
      </c>
      <c r="D203" s="155" t="s">
        <v>84</v>
      </c>
      <c r="E203" s="155" t="s">
        <v>84</v>
      </c>
      <c r="F203" s="156" t="s">
        <v>852</v>
      </c>
      <c r="G203" s="156" t="s">
        <v>1020</v>
      </c>
      <c r="H203" s="157" t="s">
        <v>1014</v>
      </c>
      <c r="I203" s="78">
        <v>2026</v>
      </c>
      <c r="J203" s="148"/>
      <c r="K203" s="131">
        <v>17000</v>
      </c>
      <c r="L203" s="131"/>
      <c r="M203" s="131">
        <v>17000</v>
      </c>
      <c r="N203" s="149"/>
      <c r="O203" s="150"/>
      <c r="P203" s="150"/>
      <c r="Q203" s="151"/>
      <c r="R203" s="152"/>
      <c r="S203" s="131">
        <v>17000</v>
      </c>
      <c r="T203" s="131">
        <v>17000</v>
      </c>
      <c r="U203" s="131"/>
      <c r="V203" s="153"/>
      <c r="W203" s="55"/>
      <c r="X203" s="55"/>
      <c r="Y203" s="55"/>
      <c r="Z203" s="55"/>
      <c r="AA203" s="154"/>
    </row>
    <row r="204" spans="1:27" s="120" customFormat="1" ht="40.200000000000003" customHeight="1">
      <c r="A204" s="70">
        <f>MAX(A$14:$A203)+1</f>
        <v>181</v>
      </c>
      <c r="B204" s="134" t="s">
        <v>1021</v>
      </c>
      <c r="C204" s="129" t="s">
        <v>632</v>
      </c>
      <c r="D204" s="155" t="s">
        <v>84</v>
      </c>
      <c r="E204" s="155" t="s">
        <v>84</v>
      </c>
      <c r="F204" s="156" t="s">
        <v>1022</v>
      </c>
      <c r="G204" s="156" t="s">
        <v>1023</v>
      </c>
      <c r="H204" s="157" t="s">
        <v>1024</v>
      </c>
      <c r="I204" s="78" t="s">
        <v>607</v>
      </c>
      <c r="J204" s="148"/>
      <c r="K204" s="131">
        <v>45000</v>
      </c>
      <c r="L204" s="131"/>
      <c r="M204" s="131">
        <v>45000</v>
      </c>
      <c r="N204" s="149"/>
      <c r="O204" s="150"/>
      <c r="P204" s="150"/>
      <c r="Q204" s="151"/>
      <c r="R204" s="152"/>
      <c r="S204" s="131">
        <v>45000</v>
      </c>
      <c r="T204" s="131">
        <v>15000</v>
      </c>
      <c r="U204" s="131"/>
      <c r="V204" s="153"/>
      <c r="W204" s="55"/>
      <c r="X204" s="55"/>
      <c r="Y204" s="55"/>
      <c r="Z204" s="55"/>
      <c r="AA204" s="154"/>
    </row>
    <row r="205" spans="1:27" s="120" customFormat="1" ht="40.200000000000003" customHeight="1">
      <c r="A205" s="70">
        <f>MAX(A$14:$A204)+1</f>
        <v>182</v>
      </c>
      <c r="B205" s="134" t="s">
        <v>1025</v>
      </c>
      <c r="C205" s="129" t="s">
        <v>632</v>
      </c>
      <c r="D205" s="78" t="s">
        <v>84</v>
      </c>
      <c r="E205" s="78" t="s">
        <v>84</v>
      </c>
      <c r="F205" s="130" t="s">
        <v>1012</v>
      </c>
      <c r="G205" s="78" t="s">
        <v>1026</v>
      </c>
      <c r="H205" s="138" t="s">
        <v>1014</v>
      </c>
      <c r="I205" s="78" t="s">
        <v>728</v>
      </c>
      <c r="J205" s="148"/>
      <c r="K205" s="131">
        <v>18000</v>
      </c>
      <c r="L205" s="131"/>
      <c r="M205" s="131">
        <v>18000</v>
      </c>
      <c r="N205" s="149"/>
      <c r="O205" s="150"/>
      <c r="P205" s="150"/>
      <c r="Q205" s="151"/>
      <c r="R205" s="152"/>
      <c r="S205" s="131">
        <v>18000</v>
      </c>
      <c r="T205" s="131"/>
      <c r="U205" s="131"/>
      <c r="V205" s="153"/>
      <c r="W205" s="55"/>
      <c r="X205" s="55"/>
      <c r="Y205" s="55"/>
      <c r="Z205" s="55"/>
      <c r="AA205" s="154"/>
    </row>
    <row r="206" spans="1:27" s="120" customFormat="1" ht="40.200000000000003" customHeight="1">
      <c r="A206" s="70">
        <f>MAX(A$14:$A205)+1</f>
        <v>183</v>
      </c>
      <c r="B206" s="134" t="s">
        <v>1027</v>
      </c>
      <c r="C206" s="129" t="s">
        <v>632</v>
      </c>
      <c r="D206" s="78" t="s">
        <v>84</v>
      </c>
      <c r="E206" s="78" t="s">
        <v>84</v>
      </c>
      <c r="F206" s="130" t="s">
        <v>1012</v>
      </c>
      <c r="G206" s="78" t="s">
        <v>1028</v>
      </c>
      <c r="H206" s="138" t="s">
        <v>1029</v>
      </c>
      <c r="I206" s="78" t="s">
        <v>728</v>
      </c>
      <c r="J206" s="148"/>
      <c r="K206" s="131">
        <v>14500</v>
      </c>
      <c r="L206" s="131"/>
      <c r="M206" s="131">
        <v>14500</v>
      </c>
      <c r="N206" s="149"/>
      <c r="O206" s="150"/>
      <c r="P206" s="150"/>
      <c r="Q206" s="151"/>
      <c r="R206" s="152"/>
      <c r="S206" s="131">
        <v>14500</v>
      </c>
      <c r="T206" s="131"/>
      <c r="U206" s="131"/>
      <c r="V206" s="153"/>
      <c r="W206" s="55"/>
      <c r="X206" s="55"/>
      <c r="Y206" s="55"/>
      <c r="Z206" s="55"/>
      <c r="AA206" s="154"/>
    </row>
    <row r="207" spans="1:27" s="120" customFormat="1" ht="40.200000000000003" customHeight="1">
      <c r="A207" s="70">
        <f>MAX(A$14:$A206)+1</f>
        <v>184</v>
      </c>
      <c r="B207" s="134" t="s">
        <v>1030</v>
      </c>
      <c r="C207" s="129" t="s">
        <v>632</v>
      </c>
      <c r="D207" s="78" t="s">
        <v>84</v>
      </c>
      <c r="E207" s="78" t="s">
        <v>84</v>
      </c>
      <c r="F207" s="130" t="s">
        <v>1012</v>
      </c>
      <c r="G207" s="78" t="s">
        <v>1031</v>
      </c>
      <c r="H207" s="138" t="s">
        <v>1029</v>
      </c>
      <c r="I207" s="78" t="s">
        <v>547</v>
      </c>
      <c r="J207" s="148"/>
      <c r="K207" s="131">
        <v>19500</v>
      </c>
      <c r="L207" s="131"/>
      <c r="M207" s="131">
        <v>19500</v>
      </c>
      <c r="N207" s="149"/>
      <c r="O207" s="150"/>
      <c r="P207" s="150"/>
      <c r="Q207" s="151"/>
      <c r="R207" s="152"/>
      <c r="S207" s="131">
        <v>19500</v>
      </c>
      <c r="T207" s="131"/>
      <c r="U207" s="131"/>
      <c r="V207" s="153"/>
      <c r="W207" s="55"/>
      <c r="X207" s="55"/>
      <c r="Y207" s="55"/>
      <c r="Z207" s="55"/>
      <c r="AA207" s="154"/>
    </row>
    <row r="208" spans="1:27" s="120" customFormat="1" ht="40.200000000000003" customHeight="1">
      <c r="A208" s="70">
        <f>MAX(A$14:$A207)+1</f>
        <v>185</v>
      </c>
      <c r="B208" s="134" t="s">
        <v>1032</v>
      </c>
      <c r="C208" s="129" t="s">
        <v>632</v>
      </c>
      <c r="D208" s="78" t="s">
        <v>47</v>
      </c>
      <c r="E208" s="78" t="s">
        <v>47</v>
      </c>
      <c r="F208" s="130" t="s">
        <v>1033</v>
      </c>
      <c r="G208" s="78" t="s">
        <v>1034</v>
      </c>
      <c r="H208" s="138" t="s">
        <v>1029</v>
      </c>
      <c r="I208" s="78" t="s">
        <v>547</v>
      </c>
      <c r="J208" s="148"/>
      <c r="K208" s="131">
        <v>140000</v>
      </c>
      <c r="L208" s="131"/>
      <c r="M208" s="131">
        <v>140000</v>
      </c>
      <c r="N208" s="149"/>
      <c r="O208" s="150"/>
      <c r="P208" s="150"/>
      <c r="Q208" s="151"/>
      <c r="R208" s="152"/>
      <c r="S208" s="131">
        <v>140000</v>
      </c>
      <c r="T208" s="131"/>
      <c r="U208" s="131"/>
      <c r="V208" s="153"/>
      <c r="W208" s="55"/>
      <c r="X208" s="55"/>
      <c r="Y208" s="55"/>
      <c r="Z208" s="55"/>
      <c r="AA208" s="154"/>
    </row>
    <row r="209" spans="1:27" s="120" customFormat="1" ht="40.200000000000003" customHeight="1">
      <c r="A209" s="70">
        <f>MAX(A$14:$A208)+1</f>
        <v>186</v>
      </c>
      <c r="B209" s="134" t="s">
        <v>1035</v>
      </c>
      <c r="C209" s="129" t="s">
        <v>632</v>
      </c>
      <c r="D209" s="78" t="s">
        <v>84</v>
      </c>
      <c r="E209" s="78" t="s">
        <v>84</v>
      </c>
      <c r="F209" s="130" t="s">
        <v>1036</v>
      </c>
      <c r="G209" s="78" t="s">
        <v>1037</v>
      </c>
      <c r="H209" s="138" t="s">
        <v>1029</v>
      </c>
      <c r="I209" s="78" t="s">
        <v>547</v>
      </c>
      <c r="J209" s="148"/>
      <c r="K209" s="131">
        <v>15000</v>
      </c>
      <c r="L209" s="131"/>
      <c r="M209" s="131">
        <v>15000</v>
      </c>
      <c r="N209" s="149"/>
      <c r="O209" s="150"/>
      <c r="P209" s="150"/>
      <c r="Q209" s="151"/>
      <c r="R209" s="152"/>
      <c r="S209" s="131">
        <v>15000</v>
      </c>
      <c r="T209" s="131"/>
      <c r="U209" s="131"/>
      <c r="V209" s="153"/>
      <c r="W209" s="55"/>
      <c r="X209" s="55"/>
      <c r="Y209" s="55"/>
      <c r="Z209" s="55"/>
      <c r="AA209" s="154"/>
    </row>
    <row r="210" spans="1:27" s="120" customFormat="1" ht="40.200000000000003" customHeight="1">
      <c r="A210" s="70">
        <f>MAX(A$14:$A209)+1</f>
        <v>187</v>
      </c>
      <c r="B210" s="134" t="s">
        <v>1038</v>
      </c>
      <c r="C210" s="129" t="s">
        <v>632</v>
      </c>
      <c r="D210" s="78" t="s">
        <v>84</v>
      </c>
      <c r="E210" s="78" t="s">
        <v>84</v>
      </c>
      <c r="F210" s="130" t="s">
        <v>1036</v>
      </c>
      <c r="G210" s="78" t="s">
        <v>1039</v>
      </c>
      <c r="H210" s="138" t="s">
        <v>1029</v>
      </c>
      <c r="I210" s="78" t="s">
        <v>547</v>
      </c>
      <c r="J210" s="148"/>
      <c r="K210" s="131">
        <v>17000</v>
      </c>
      <c r="L210" s="131"/>
      <c r="M210" s="131">
        <v>17000</v>
      </c>
      <c r="N210" s="149"/>
      <c r="O210" s="150"/>
      <c r="P210" s="150"/>
      <c r="Q210" s="151"/>
      <c r="R210" s="152"/>
      <c r="S210" s="131">
        <v>17000</v>
      </c>
      <c r="T210" s="131"/>
      <c r="U210" s="131"/>
      <c r="V210" s="153"/>
      <c r="W210" s="55"/>
      <c r="X210" s="55"/>
      <c r="Y210" s="55"/>
      <c r="Z210" s="55"/>
      <c r="AA210" s="154"/>
    </row>
    <row r="211" spans="1:27" s="120" customFormat="1" ht="40.200000000000003" customHeight="1">
      <c r="A211" s="70">
        <f>MAX(A$14:$A210)+1</f>
        <v>188</v>
      </c>
      <c r="B211" s="134" t="s">
        <v>1040</v>
      </c>
      <c r="C211" s="129" t="s">
        <v>632</v>
      </c>
      <c r="D211" s="78" t="s">
        <v>84</v>
      </c>
      <c r="E211" s="78" t="s">
        <v>84</v>
      </c>
      <c r="F211" s="130" t="s">
        <v>1036</v>
      </c>
      <c r="G211" s="78" t="s">
        <v>1041</v>
      </c>
      <c r="H211" s="138" t="s">
        <v>1042</v>
      </c>
      <c r="I211" s="78" t="s">
        <v>547</v>
      </c>
      <c r="J211" s="148"/>
      <c r="K211" s="131">
        <v>19500</v>
      </c>
      <c r="L211" s="131"/>
      <c r="M211" s="131">
        <v>19500</v>
      </c>
      <c r="N211" s="149"/>
      <c r="O211" s="150"/>
      <c r="P211" s="150"/>
      <c r="Q211" s="151"/>
      <c r="R211" s="152"/>
      <c r="S211" s="131">
        <v>19500</v>
      </c>
      <c r="T211" s="131"/>
      <c r="U211" s="131"/>
      <c r="V211" s="153"/>
      <c r="W211" s="55"/>
      <c r="X211" s="55"/>
      <c r="Y211" s="55"/>
      <c r="Z211" s="55"/>
      <c r="AA211" s="154"/>
    </row>
    <row r="212" spans="1:27" s="120" customFormat="1" ht="40.200000000000003" customHeight="1">
      <c r="A212" s="70">
        <f>MAX(A$14:$A211)+1</f>
        <v>189</v>
      </c>
      <c r="B212" s="134" t="s">
        <v>1043</v>
      </c>
      <c r="C212" s="129" t="s">
        <v>632</v>
      </c>
      <c r="D212" s="78" t="s">
        <v>47</v>
      </c>
      <c r="E212" s="78" t="s">
        <v>47</v>
      </c>
      <c r="F212" s="130" t="s">
        <v>1033</v>
      </c>
      <c r="G212" s="78" t="s">
        <v>1044</v>
      </c>
      <c r="H212" s="138" t="s">
        <v>1045</v>
      </c>
      <c r="I212" s="78" t="s">
        <v>547</v>
      </c>
      <c r="J212" s="148"/>
      <c r="K212" s="131">
        <v>100000</v>
      </c>
      <c r="L212" s="131"/>
      <c r="M212" s="131">
        <v>100000</v>
      </c>
      <c r="N212" s="149"/>
      <c r="O212" s="150"/>
      <c r="P212" s="150"/>
      <c r="Q212" s="151"/>
      <c r="R212" s="152"/>
      <c r="S212" s="131">
        <v>100000</v>
      </c>
      <c r="T212" s="131"/>
      <c r="U212" s="131"/>
      <c r="V212" s="153"/>
      <c r="W212" s="55"/>
      <c r="X212" s="55"/>
      <c r="Y212" s="55"/>
      <c r="Z212" s="55"/>
      <c r="AA212" s="154"/>
    </row>
    <row r="213" spans="1:27" s="120" customFormat="1" ht="40.200000000000003" customHeight="1">
      <c r="A213" s="70">
        <f>MAX(A$14:$A212)+1</f>
        <v>190</v>
      </c>
      <c r="B213" s="134" t="s">
        <v>1046</v>
      </c>
      <c r="C213" s="129" t="s">
        <v>632</v>
      </c>
      <c r="D213" s="78" t="s">
        <v>84</v>
      </c>
      <c r="E213" s="78" t="s">
        <v>84</v>
      </c>
      <c r="F213" s="130" t="s">
        <v>1047</v>
      </c>
      <c r="G213" s="78" t="s">
        <v>1048</v>
      </c>
      <c r="H213" s="138" t="s">
        <v>1045</v>
      </c>
      <c r="I213" s="78" t="s">
        <v>547</v>
      </c>
      <c r="J213" s="148"/>
      <c r="K213" s="131">
        <v>15000</v>
      </c>
      <c r="L213" s="131"/>
      <c r="M213" s="131">
        <v>15000</v>
      </c>
      <c r="N213" s="149"/>
      <c r="O213" s="150"/>
      <c r="P213" s="150"/>
      <c r="Q213" s="151"/>
      <c r="R213" s="152"/>
      <c r="S213" s="131">
        <v>15000</v>
      </c>
      <c r="T213" s="131"/>
      <c r="U213" s="131"/>
      <c r="V213" s="153"/>
      <c r="W213" s="55"/>
      <c r="X213" s="55"/>
      <c r="Y213" s="55"/>
      <c r="Z213" s="55"/>
      <c r="AA213" s="154"/>
    </row>
    <row r="214" spans="1:27" s="120" customFormat="1" ht="21.75" customHeight="1">
      <c r="A214" s="65" t="s">
        <v>509</v>
      </c>
      <c r="B214" s="66" t="s">
        <v>1049</v>
      </c>
      <c r="C214" s="116"/>
      <c r="D214" s="116"/>
      <c r="E214" s="116"/>
      <c r="F214" s="116"/>
      <c r="G214" s="116"/>
      <c r="H214" s="116"/>
      <c r="I214" s="116"/>
      <c r="J214" s="116"/>
      <c r="K214" s="117">
        <f>SUM(K215:K234)</f>
        <v>1426000</v>
      </c>
      <c r="L214" s="117">
        <f t="shared" ref="L214:T214" si="14">SUM(L215:L234)</f>
        <v>0</v>
      </c>
      <c r="M214" s="117">
        <f t="shared" si="14"/>
        <v>1426000</v>
      </c>
      <c r="N214" s="117">
        <f t="shared" si="14"/>
        <v>0</v>
      </c>
      <c r="O214" s="117">
        <f t="shared" si="14"/>
        <v>0</v>
      </c>
      <c r="P214" s="117">
        <f t="shared" si="14"/>
        <v>70000</v>
      </c>
      <c r="Q214" s="117">
        <f t="shared" si="14"/>
        <v>927000</v>
      </c>
      <c r="R214" s="117">
        <f t="shared" si="14"/>
        <v>63000</v>
      </c>
      <c r="S214" s="117">
        <f t="shared" si="14"/>
        <v>1207000</v>
      </c>
      <c r="T214" s="117">
        <f t="shared" si="14"/>
        <v>199000</v>
      </c>
      <c r="U214" s="117">
        <f>SUM(U215:U234)</f>
        <v>0</v>
      </c>
      <c r="V214" s="158"/>
      <c r="W214" s="55" t="e">
        <f>A370-#REF!</f>
        <v>#REF!</v>
      </c>
      <c r="X214" s="55"/>
      <c r="Y214" s="55"/>
      <c r="Z214" s="55"/>
      <c r="AA214" s="119">
        <f>K214-[5]Sheet1!$J$17</f>
        <v>-234000</v>
      </c>
    </row>
    <row r="215" spans="1:27" s="114" customFormat="1" ht="40.200000000000003" customHeight="1">
      <c r="A215" s="70">
        <f>MAX(A$14:$A214)+1</f>
        <v>191</v>
      </c>
      <c r="B215" s="159" t="s">
        <v>1050</v>
      </c>
      <c r="C215" s="122" t="s">
        <v>259</v>
      </c>
      <c r="D215" s="122" t="s">
        <v>47</v>
      </c>
      <c r="E215" s="122" t="s">
        <v>84</v>
      </c>
      <c r="F215" s="72" t="s">
        <v>325</v>
      </c>
      <c r="G215" s="72" t="s">
        <v>513</v>
      </c>
      <c r="H215" s="72"/>
      <c r="I215" s="72" t="s">
        <v>462</v>
      </c>
      <c r="J215" s="160">
        <v>70000</v>
      </c>
      <c r="K215" s="160">
        <v>70000</v>
      </c>
      <c r="L215" s="160"/>
      <c r="M215" s="160">
        <v>70000</v>
      </c>
      <c r="N215" s="160"/>
      <c r="O215" s="160"/>
      <c r="P215" s="160">
        <v>70000</v>
      </c>
      <c r="Q215" s="160"/>
      <c r="R215" s="160">
        <v>63000</v>
      </c>
      <c r="S215" s="160">
        <v>70000</v>
      </c>
      <c r="T215" s="160"/>
      <c r="U215" s="160"/>
      <c r="V215" s="137"/>
      <c r="W215" s="55"/>
      <c r="X215" s="55"/>
      <c r="Y215" s="55"/>
      <c r="Z215" s="55"/>
      <c r="AA215" s="113"/>
    </row>
    <row r="216" spans="1:27" s="114" customFormat="1" ht="40.200000000000003" customHeight="1">
      <c r="A216" s="70">
        <f>MAX(A$14:$A215)+1</f>
        <v>192</v>
      </c>
      <c r="B216" s="71" t="s">
        <v>1051</v>
      </c>
      <c r="C216" s="72" t="s">
        <v>259</v>
      </c>
      <c r="D216" s="72" t="s">
        <v>47</v>
      </c>
      <c r="E216" s="72" t="s">
        <v>47</v>
      </c>
      <c r="F216" s="72" t="s">
        <v>311</v>
      </c>
      <c r="G216" s="72" t="s">
        <v>1052</v>
      </c>
      <c r="H216" s="72"/>
      <c r="I216" s="72" t="s">
        <v>416</v>
      </c>
      <c r="J216" s="160"/>
      <c r="K216" s="161">
        <v>236000</v>
      </c>
      <c r="L216" s="161">
        <v>0</v>
      </c>
      <c r="M216" s="161">
        <f>K216-L216</f>
        <v>236000</v>
      </c>
      <c r="N216" s="160"/>
      <c r="O216" s="160"/>
      <c r="P216" s="160"/>
      <c r="Q216" s="160"/>
      <c r="R216" s="160"/>
      <c r="S216" s="161">
        <v>100000</v>
      </c>
      <c r="T216" s="161"/>
      <c r="U216" s="161"/>
      <c r="V216" s="137"/>
      <c r="W216" s="55"/>
      <c r="X216" s="55"/>
      <c r="Y216" s="55"/>
      <c r="Z216" s="55"/>
      <c r="AA216" s="113"/>
    </row>
    <row r="217" spans="1:27" s="114" customFormat="1" ht="40.200000000000003" customHeight="1">
      <c r="A217" s="70">
        <f>MAX(A$14:$A216)+1</f>
        <v>193</v>
      </c>
      <c r="B217" s="162" t="s">
        <v>1053</v>
      </c>
      <c r="C217" s="129" t="s">
        <v>632</v>
      </c>
      <c r="D217" s="72" t="s">
        <v>84</v>
      </c>
      <c r="E217" s="72"/>
      <c r="F217" s="163" t="s">
        <v>343</v>
      </c>
      <c r="G217" s="72" t="s">
        <v>1054</v>
      </c>
      <c r="H217" s="164" t="s">
        <v>1055</v>
      </c>
      <c r="I217" s="72" t="s">
        <v>612</v>
      </c>
      <c r="J217" s="148"/>
      <c r="K217" s="75">
        <f>L217+M217</f>
        <v>30000</v>
      </c>
      <c r="L217" s="75"/>
      <c r="M217" s="75">
        <v>30000</v>
      </c>
      <c r="N217" s="165"/>
      <c r="O217" s="150"/>
      <c r="P217" s="150"/>
      <c r="Q217" s="151"/>
      <c r="R217" s="152"/>
      <c r="S217" s="75">
        <v>30000</v>
      </c>
      <c r="T217" s="75"/>
      <c r="U217" s="75"/>
      <c r="V217" s="153"/>
      <c r="W217" s="55"/>
      <c r="X217" s="55"/>
      <c r="Y217" s="55"/>
      <c r="Z217" s="55"/>
      <c r="AA217" s="154"/>
    </row>
    <row r="218" spans="1:27" s="114" customFormat="1" ht="40.200000000000003" customHeight="1">
      <c r="A218" s="70">
        <f>MAX(A$14:$A217)+1</f>
        <v>194</v>
      </c>
      <c r="B218" s="162" t="s">
        <v>1056</v>
      </c>
      <c r="C218" s="129" t="s">
        <v>632</v>
      </c>
      <c r="D218" s="72" t="s">
        <v>84</v>
      </c>
      <c r="E218" s="72"/>
      <c r="F218" s="163" t="s">
        <v>344</v>
      </c>
      <c r="G218" s="72" t="s">
        <v>1054</v>
      </c>
      <c r="H218" s="164"/>
      <c r="I218" s="72" t="s">
        <v>1057</v>
      </c>
      <c r="J218" s="148"/>
      <c r="K218" s="75">
        <f>L218+M218</f>
        <v>25000</v>
      </c>
      <c r="L218" s="75"/>
      <c r="M218" s="75">
        <v>25000</v>
      </c>
      <c r="N218" s="165"/>
      <c r="O218" s="150"/>
      <c r="P218" s="150"/>
      <c r="Q218" s="151"/>
      <c r="R218" s="152"/>
      <c r="S218" s="75">
        <v>25000</v>
      </c>
      <c r="T218" s="75"/>
      <c r="U218" s="75"/>
      <c r="V218" s="153"/>
      <c r="W218" s="55"/>
      <c r="X218" s="55"/>
      <c r="Y218" s="55"/>
      <c r="Z218" s="55"/>
      <c r="AA218" s="154"/>
    </row>
    <row r="219" spans="1:27" s="114" customFormat="1" ht="40.200000000000003" customHeight="1">
      <c r="A219" s="70">
        <f>MAX(A$14:$A218)+1</f>
        <v>195</v>
      </c>
      <c r="B219" s="162" t="s">
        <v>1058</v>
      </c>
      <c r="C219" s="129" t="s">
        <v>632</v>
      </c>
      <c r="D219" s="72" t="s">
        <v>84</v>
      </c>
      <c r="E219" s="72"/>
      <c r="F219" s="163" t="s">
        <v>341</v>
      </c>
      <c r="G219" s="72" t="s">
        <v>1054</v>
      </c>
      <c r="H219" s="164"/>
      <c r="I219" s="72" t="s">
        <v>1057</v>
      </c>
      <c r="J219" s="148"/>
      <c r="K219" s="75">
        <f>L219+M219</f>
        <v>30000</v>
      </c>
      <c r="L219" s="75"/>
      <c r="M219" s="75">
        <v>30000</v>
      </c>
      <c r="N219" s="165"/>
      <c r="O219" s="150"/>
      <c r="P219" s="150"/>
      <c r="Q219" s="151"/>
      <c r="R219" s="152"/>
      <c r="S219" s="75">
        <v>30000</v>
      </c>
      <c r="T219" s="75"/>
      <c r="U219" s="75"/>
      <c r="V219" s="153"/>
      <c r="W219" s="55"/>
      <c r="X219" s="55"/>
      <c r="Y219" s="55"/>
      <c r="Z219" s="55"/>
      <c r="AA219" s="154"/>
    </row>
    <row r="220" spans="1:27" s="114" customFormat="1" ht="40.200000000000003" customHeight="1">
      <c r="A220" s="70">
        <f>MAX(A$14:$A219)+1</f>
        <v>196</v>
      </c>
      <c r="B220" s="162" t="s">
        <v>1059</v>
      </c>
      <c r="C220" s="129" t="s">
        <v>632</v>
      </c>
      <c r="D220" s="72" t="s">
        <v>84</v>
      </c>
      <c r="E220" s="72"/>
      <c r="F220" s="163" t="s">
        <v>342</v>
      </c>
      <c r="G220" s="72" t="s">
        <v>1054</v>
      </c>
      <c r="H220" s="164"/>
      <c r="I220" s="72" t="s">
        <v>612</v>
      </c>
      <c r="J220" s="148"/>
      <c r="K220" s="75">
        <f>L220+M220</f>
        <v>25000</v>
      </c>
      <c r="L220" s="75"/>
      <c r="M220" s="75">
        <v>25000</v>
      </c>
      <c r="N220" s="165"/>
      <c r="O220" s="150"/>
      <c r="P220" s="150"/>
      <c r="Q220" s="151"/>
      <c r="R220" s="152"/>
      <c r="S220" s="75">
        <v>25000</v>
      </c>
      <c r="T220" s="75"/>
      <c r="U220" s="75"/>
      <c r="V220" s="153"/>
      <c r="W220" s="55"/>
      <c r="X220" s="55"/>
      <c r="Y220" s="55"/>
      <c r="Z220" s="55"/>
      <c r="AA220" s="154"/>
    </row>
    <row r="221" spans="1:27" s="114" customFormat="1" ht="58.65" customHeight="1">
      <c r="A221" s="70">
        <f>MAX(A$14:$A220)+1</f>
        <v>197</v>
      </c>
      <c r="B221" s="162" t="s">
        <v>1060</v>
      </c>
      <c r="C221" s="166" t="s">
        <v>1061</v>
      </c>
      <c r="D221" s="72" t="str">
        <f>IF(K221&gt;=45000,"B","C")</f>
        <v>B</v>
      </c>
      <c r="E221" s="72" t="s">
        <v>47</v>
      </c>
      <c r="F221" s="163" t="s">
        <v>331</v>
      </c>
      <c r="G221" s="72" t="s">
        <v>516</v>
      </c>
      <c r="H221" s="164" t="s">
        <v>1062</v>
      </c>
      <c r="I221" s="72" t="s">
        <v>462</v>
      </c>
      <c r="J221" s="148"/>
      <c r="K221" s="75">
        <v>150000</v>
      </c>
      <c r="L221" s="75">
        <f t="shared" ref="L221:L234" si="15">R221</f>
        <v>0</v>
      </c>
      <c r="M221" s="75">
        <f>K221-L221</f>
        <v>150000</v>
      </c>
      <c r="N221" s="165"/>
      <c r="O221" s="150"/>
      <c r="P221" s="150"/>
      <c r="Q221" s="151">
        <v>135000</v>
      </c>
      <c r="R221" s="152"/>
      <c r="S221" s="75">
        <f>Q221</f>
        <v>135000</v>
      </c>
      <c r="T221" s="75">
        <v>34000</v>
      </c>
      <c r="U221" s="75"/>
      <c r="V221" s="153"/>
      <c r="W221" s="55"/>
      <c r="X221" s="55"/>
      <c r="Y221" s="55"/>
      <c r="Z221" s="55"/>
      <c r="AA221" s="154"/>
    </row>
    <row r="222" spans="1:27" s="114" customFormat="1" ht="58.65" customHeight="1">
      <c r="A222" s="70">
        <f>MAX(A$14:$A221)+1</f>
        <v>198</v>
      </c>
      <c r="B222" s="162" t="s">
        <v>1063</v>
      </c>
      <c r="C222" s="166" t="s">
        <v>1061</v>
      </c>
      <c r="D222" s="72" t="str">
        <f>IF(K222&gt;=45000,"B","C")</f>
        <v>B</v>
      </c>
      <c r="E222" s="72" t="s">
        <v>47</v>
      </c>
      <c r="F222" s="163" t="s">
        <v>348</v>
      </c>
      <c r="G222" s="72" t="s">
        <v>516</v>
      </c>
      <c r="H222" s="164" t="s">
        <v>1064</v>
      </c>
      <c r="I222" s="72" t="s">
        <v>462</v>
      </c>
      <c r="J222" s="148"/>
      <c r="K222" s="75">
        <v>100000</v>
      </c>
      <c r="L222" s="75">
        <f t="shared" si="15"/>
        <v>0</v>
      </c>
      <c r="M222" s="75">
        <f>K222-L222</f>
        <v>100000</v>
      </c>
      <c r="N222" s="165"/>
      <c r="O222" s="150"/>
      <c r="P222" s="150"/>
      <c r="Q222" s="151">
        <v>99000</v>
      </c>
      <c r="R222" s="152"/>
      <c r="S222" s="75">
        <f>Q222</f>
        <v>99000</v>
      </c>
      <c r="T222" s="75">
        <v>25000</v>
      </c>
      <c r="U222" s="75"/>
      <c r="V222" s="153"/>
      <c r="W222" s="55"/>
      <c r="X222" s="55"/>
      <c r="Y222" s="55"/>
      <c r="Z222" s="55"/>
      <c r="AA222" s="154"/>
    </row>
    <row r="223" spans="1:27" s="114" customFormat="1" ht="58.65" customHeight="1">
      <c r="A223" s="70">
        <f>MAX(A$14:$A222)+1</f>
        <v>199</v>
      </c>
      <c r="B223" s="162" t="s">
        <v>1065</v>
      </c>
      <c r="C223" s="166" t="s">
        <v>1061</v>
      </c>
      <c r="D223" s="72" t="str">
        <f>IF(K223&gt;=45000,"B","C")</f>
        <v>B</v>
      </c>
      <c r="E223" s="72" t="s">
        <v>47</v>
      </c>
      <c r="F223" s="163" t="s">
        <v>346</v>
      </c>
      <c r="G223" s="72" t="s">
        <v>516</v>
      </c>
      <c r="H223" s="164" t="s">
        <v>1066</v>
      </c>
      <c r="I223" s="72" t="s">
        <v>462</v>
      </c>
      <c r="J223" s="148"/>
      <c r="K223" s="75">
        <v>100000</v>
      </c>
      <c r="L223" s="75">
        <f t="shared" si="15"/>
        <v>0</v>
      </c>
      <c r="M223" s="75">
        <f>K223-L223</f>
        <v>100000</v>
      </c>
      <c r="N223" s="165"/>
      <c r="O223" s="150"/>
      <c r="P223" s="150"/>
      <c r="Q223" s="151">
        <v>99000</v>
      </c>
      <c r="R223" s="152"/>
      <c r="S223" s="75">
        <f>Q223</f>
        <v>99000</v>
      </c>
      <c r="T223" s="75">
        <v>25000</v>
      </c>
      <c r="U223" s="75"/>
      <c r="V223" s="153"/>
      <c r="W223" s="55"/>
      <c r="X223" s="55"/>
      <c r="Y223" s="55"/>
      <c r="Z223" s="55"/>
      <c r="AA223" s="154"/>
    </row>
    <row r="224" spans="1:27" s="114" customFormat="1" ht="58.65" customHeight="1">
      <c r="A224" s="70">
        <f>MAX(A$14:$A223)+1</f>
        <v>200</v>
      </c>
      <c r="B224" s="162" t="s">
        <v>1067</v>
      </c>
      <c r="C224" s="166" t="s">
        <v>1061</v>
      </c>
      <c r="D224" s="72" t="str">
        <f>IF(K224&gt;=45000,"B","C")</f>
        <v>B</v>
      </c>
      <c r="E224" s="72" t="s">
        <v>47</v>
      </c>
      <c r="F224" s="163" t="s">
        <v>354</v>
      </c>
      <c r="G224" s="72" t="s">
        <v>516</v>
      </c>
      <c r="H224" s="164" t="s">
        <v>1068</v>
      </c>
      <c r="I224" s="72" t="s">
        <v>462</v>
      </c>
      <c r="J224" s="148"/>
      <c r="K224" s="75">
        <v>100000</v>
      </c>
      <c r="L224" s="75">
        <f t="shared" si="15"/>
        <v>0</v>
      </c>
      <c r="M224" s="75">
        <f>K224-L224</f>
        <v>100000</v>
      </c>
      <c r="N224" s="165"/>
      <c r="O224" s="150"/>
      <c r="P224" s="150"/>
      <c r="Q224" s="151">
        <v>90000</v>
      </c>
      <c r="R224" s="152"/>
      <c r="S224" s="75">
        <f>Q224</f>
        <v>90000</v>
      </c>
      <c r="T224" s="75">
        <v>23000</v>
      </c>
      <c r="U224" s="75"/>
      <c r="V224" s="153"/>
      <c r="W224" s="55"/>
      <c r="X224" s="55"/>
      <c r="Y224" s="55"/>
      <c r="Z224" s="55"/>
      <c r="AA224" s="154"/>
    </row>
    <row r="225" spans="1:32" s="114" customFormat="1" ht="58.65" customHeight="1">
      <c r="A225" s="70">
        <f>MAX(A$14:$A224)+1</f>
        <v>201</v>
      </c>
      <c r="B225" s="162" t="s">
        <v>1069</v>
      </c>
      <c r="C225" s="166" t="s">
        <v>1061</v>
      </c>
      <c r="D225" s="72" t="str">
        <f t="shared" ref="D225:D234" si="16">IF(K225&gt;=45000,"B","C")</f>
        <v>B</v>
      </c>
      <c r="E225" s="72" t="s">
        <v>84</v>
      </c>
      <c r="F225" s="163" t="s">
        <v>325</v>
      </c>
      <c r="G225" s="72" t="s">
        <v>1070</v>
      </c>
      <c r="H225" s="164" t="s">
        <v>1071</v>
      </c>
      <c r="I225" s="72" t="s">
        <v>568</v>
      </c>
      <c r="J225" s="148"/>
      <c r="K225" s="75">
        <v>50000</v>
      </c>
      <c r="L225" s="75">
        <f t="shared" si="15"/>
        <v>0</v>
      </c>
      <c r="M225" s="75">
        <f t="shared" ref="M225:M234" si="17">K225-L225</f>
        <v>50000</v>
      </c>
      <c r="N225" s="165"/>
      <c r="O225" s="150"/>
      <c r="P225" s="150"/>
      <c r="Q225" s="151">
        <f t="shared" ref="Q225:Q234" si="18">R225+S225</f>
        <v>45000</v>
      </c>
      <c r="R225" s="152"/>
      <c r="S225" s="75">
        <v>45000</v>
      </c>
      <c r="T225" s="75">
        <v>11000</v>
      </c>
      <c r="U225" s="75"/>
      <c r="V225" s="153"/>
      <c r="W225" s="55"/>
      <c r="X225" s="55"/>
      <c r="Y225" s="55"/>
      <c r="Z225" s="55"/>
      <c r="AA225" s="154"/>
    </row>
    <row r="226" spans="1:32" s="114" customFormat="1" ht="58.65" customHeight="1">
      <c r="A226" s="70">
        <f>MAX(A$14:$A225)+1</f>
        <v>202</v>
      </c>
      <c r="B226" s="162" t="s">
        <v>1072</v>
      </c>
      <c r="C226" s="166" t="s">
        <v>1061</v>
      </c>
      <c r="D226" s="72" t="str">
        <f t="shared" si="16"/>
        <v>B</v>
      </c>
      <c r="E226" s="72" t="s">
        <v>84</v>
      </c>
      <c r="F226" s="163" t="s">
        <v>325</v>
      </c>
      <c r="G226" s="72" t="s">
        <v>1070</v>
      </c>
      <c r="H226" s="164" t="s">
        <v>1073</v>
      </c>
      <c r="I226" s="72" t="s">
        <v>568</v>
      </c>
      <c r="J226" s="148"/>
      <c r="K226" s="75">
        <v>50000</v>
      </c>
      <c r="L226" s="75">
        <f t="shared" si="15"/>
        <v>0</v>
      </c>
      <c r="M226" s="75">
        <f t="shared" si="17"/>
        <v>50000</v>
      </c>
      <c r="N226" s="165"/>
      <c r="O226" s="150"/>
      <c r="P226" s="150"/>
      <c r="Q226" s="151">
        <f t="shared" si="18"/>
        <v>45000</v>
      </c>
      <c r="R226" s="152"/>
      <c r="S226" s="75">
        <v>45000</v>
      </c>
      <c r="T226" s="75">
        <v>11000</v>
      </c>
      <c r="U226" s="75"/>
      <c r="V226" s="153"/>
      <c r="W226" s="55"/>
      <c r="X226" s="55"/>
      <c r="Y226" s="55"/>
      <c r="Z226" s="55"/>
      <c r="AA226" s="154"/>
    </row>
    <row r="227" spans="1:32" s="114" customFormat="1" ht="58.65" customHeight="1">
      <c r="A227" s="70">
        <f>MAX(A$14:$A226)+1</f>
        <v>203</v>
      </c>
      <c r="B227" s="162" t="s">
        <v>1074</v>
      </c>
      <c r="C227" s="166" t="s">
        <v>1061</v>
      </c>
      <c r="D227" s="72" t="str">
        <f t="shared" si="16"/>
        <v>B</v>
      </c>
      <c r="E227" s="72" t="s">
        <v>84</v>
      </c>
      <c r="F227" s="163" t="s">
        <v>325</v>
      </c>
      <c r="G227" s="72" t="s">
        <v>1075</v>
      </c>
      <c r="H227" s="164" t="s">
        <v>1073</v>
      </c>
      <c r="I227" s="72" t="s">
        <v>568</v>
      </c>
      <c r="J227" s="148"/>
      <c r="K227" s="75">
        <v>50000</v>
      </c>
      <c r="L227" s="75">
        <f t="shared" si="15"/>
        <v>0</v>
      </c>
      <c r="M227" s="75">
        <f t="shared" si="17"/>
        <v>50000</v>
      </c>
      <c r="N227" s="165"/>
      <c r="O227" s="150"/>
      <c r="P227" s="150"/>
      <c r="Q227" s="151">
        <f t="shared" si="18"/>
        <v>45000</v>
      </c>
      <c r="R227" s="152"/>
      <c r="S227" s="75">
        <v>45000</v>
      </c>
      <c r="T227" s="75">
        <v>11000</v>
      </c>
      <c r="U227" s="75"/>
      <c r="V227" s="153"/>
      <c r="W227" s="55"/>
      <c r="X227" s="55"/>
      <c r="Y227" s="55"/>
      <c r="Z227" s="55"/>
      <c r="AA227" s="154"/>
    </row>
    <row r="228" spans="1:32" s="114" customFormat="1" ht="58.65" customHeight="1">
      <c r="A228" s="70">
        <f>MAX(A$14:$A227)+1</f>
        <v>204</v>
      </c>
      <c r="B228" s="162" t="s">
        <v>1076</v>
      </c>
      <c r="C228" s="166" t="s">
        <v>1061</v>
      </c>
      <c r="D228" s="72" t="str">
        <f t="shared" si="16"/>
        <v>B</v>
      </c>
      <c r="E228" s="72" t="s">
        <v>84</v>
      </c>
      <c r="F228" s="163" t="s">
        <v>351</v>
      </c>
      <c r="G228" s="72" t="s">
        <v>516</v>
      </c>
      <c r="H228" s="164" t="s">
        <v>1077</v>
      </c>
      <c r="I228" s="72" t="s">
        <v>462</v>
      </c>
      <c r="J228" s="148"/>
      <c r="K228" s="75">
        <v>70000</v>
      </c>
      <c r="L228" s="75">
        <f t="shared" si="15"/>
        <v>0</v>
      </c>
      <c r="M228" s="75">
        <f t="shared" si="17"/>
        <v>70000</v>
      </c>
      <c r="N228" s="165"/>
      <c r="O228" s="150"/>
      <c r="P228" s="150"/>
      <c r="Q228" s="151">
        <f t="shared" si="18"/>
        <v>63000</v>
      </c>
      <c r="R228" s="152"/>
      <c r="S228" s="75">
        <v>63000</v>
      </c>
      <c r="T228" s="75">
        <v>16000</v>
      </c>
      <c r="U228" s="75"/>
      <c r="V228" s="153"/>
      <c r="W228" s="55"/>
      <c r="X228" s="55"/>
      <c r="Y228" s="55"/>
      <c r="Z228" s="55"/>
      <c r="AA228" s="154"/>
    </row>
    <row r="229" spans="1:32" s="114" customFormat="1" ht="58.65" customHeight="1">
      <c r="A229" s="70">
        <f>MAX(A$14:$A228)+1</f>
        <v>205</v>
      </c>
      <c r="B229" s="162" t="s">
        <v>1078</v>
      </c>
      <c r="C229" s="166" t="s">
        <v>1061</v>
      </c>
      <c r="D229" s="72" t="str">
        <f t="shared" si="16"/>
        <v>B</v>
      </c>
      <c r="E229" s="72" t="s">
        <v>84</v>
      </c>
      <c r="F229" s="163" t="s">
        <v>342</v>
      </c>
      <c r="G229" s="72" t="s">
        <v>516</v>
      </c>
      <c r="H229" s="164" t="s">
        <v>1079</v>
      </c>
      <c r="I229" s="72" t="s">
        <v>462</v>
      </c>
      <c r="J229" s="148"/>
      <c r="K229" s="75">
        <v>70000</v>
      </c>
      <c r="L229" s="75">
        <f t="shared" si="15"/>
        <v>0</v>
      </c>
      <c r="M229" s="75">
        <f t="shared" si="17"/>
        <v>70000</v>
      </c>
      <c r="N229" s="165"/>
      <c r="O229" s="150"/>
      <c r="P229" s="150"/>
      <c r="Q229" s="151">
        <f t="shared" si="18"/>
        <v>63000</v>
      </c>
      <c r="R229" s="152"/>
      <c r="S229" s="75">
        <v>63000</v>
      </c>
      <c r="T229" s="75">
        <v>16000</v>
      </c>
      <c r="U229" s="75"/>
      <c r="V229" s="153"/>
      <c r="W229" s="55"/>
      <c r="X229" s="55"/>
      <c r="Y229" s="55"/>
      <c r="Z229" s="55"/>
      <c r="AA229" s="154"/>
    </row>
    <row r="230" spans="1:32" s="114" customFormat="1" ht="58.65" customHeight="1">
      <c r="A230" s="70">
        <f>MAX(A$14:$A229)+1</f>
        <v>206</v>
      </c>
      <c r="B230" s="162" t="s">
        <v>1080</v>
      </c>
      <c r="C230" s="166" t="s">
        <v>1061</v>
      </c>
      <c r="D230" s="72" t="str">
        <f t="shared" si="16"/>
        <v>B</v>
      </c>
      <c r="E230" s="72" t="s">
        <v>84</v>
      </c>
      <c r="F230" s="163" t="s">
        <v>324</v>
      </c>
      <c r="G230" s="72" t="s">
        <v>516</v>
      </c>
      <c r="H230" s="164" t="s">
        <v>1081</v>
      </c>
      <c r="I230" s="72" t="s">
        <v>462</v>
      </c>
      <c r="J230" s="148"/>
      <c r="K230" s="75">
        <v>50000</v>
      </c>
      <c r="L230" s="75">
        <f t="shared" si="15"/>
        <v>0</v>
      </c>
      <c r="M230" s="75">
        <f t="shared" si="17"/>
        <v>50000</v>
      </c>
      <c r="N230" s="165"/>
      <c r="O230" s="150"/>
      <c r="P230" s="150"/>
      <c r="Q230" s="151">
        <f t="shared" si="18"/>
        <v>45000</v>
      </c>
      <c r="R230" s="152"/>
      <c r="S230" s="75">
        <v>45000</v>
      </c>
      <c r="T230" s="75">
        <v>11000</v>
      </c>
      <c r="U230" s="75"/>
      <c r="V230" s="153"/>
      <c r="W230" s="55"/>
      <c r="X230" s="55"/>
      <c r="Y230" s="55"/>
      <c r="Z230" s="55"/>
      <c r="AA230" s="154"/>
    </row>
    <row r="231" spans="1:32" s="114" customFormat="1" ht="58.65" customHeight="1">
      <c r="A231" s="70">
        <f>MAX(A$14:$A230)+1</f>
        <v>207</v>
      </c>
      <c r="B231" s="162" t="s">
        <v>1082</v>
      </c>
      <c r="C231" s="166" t="s">
        <v>1061</v>
      </c>
      <c r="D231" s="72" t="str">
        <f t="shared" si="16"/>
        <v>B</v>
      </c>
      <c r="E231" s="72" t="s">
        <v>84</v>
      </c>
      <c r="F231" s="163" t="s">
        <v>340</v>
      </c>
      <c r="G231" s="72" t="s">
        <v>516</v>
      </c>
      <c r="H231" s="164" t="s">
        <v>1083</v>
      </c>
      <c r="I231" s="72" t="s">
        <v>462</v>
      </c>
      <c r="J231" s="148"/>
      <c r="K231" s="75">
        <v>70000</v>
      </c>
      <c r="L231" s="75">
        <f t="shared" si="15"/>
        <v>0</v>
      </c>
      <c r="M231" s="75">
        <f t="shared" si="17"/>
        <v>70000</v>
      </c>
      <c r="N231" s="165"/>
      <c r="O231" s="150"/>
      <c r="P231" s="150"/>
      <c r="Q231" s="151">
        <f t="shared" si="18"/>
        <v>63000</v>
      </c>
      <c r="R231" s="152"/>
      <c r="S231" s="75">
        <v>63000</v>
      </c>
      <c r="T231" s="75">
        <v>16000</v>
      </c>
      <c r="U231" s="75"/>
      <c r="V231" s="153"/>
      <c r="W231" s="55"/>
      <c r="X231" s="55"/>
      <c r="Y231" s="55"/>
      <c r="Z231" s="55"/>
      <c r="AA231" s="154"/>
    </row>
    <row r="232" spans="1:32" s="114" customFormat="1" ht="58.65" customHeight="1">
      <c r="A232" s="70">
        <f>MAX(A$14:$A231)+1</f>
        <v>208</v>
      </c>
      <c r="B232" s="162" t="s">
        <v>1084</v>
      </c>
      <c r="C232" s="166" t="s">
        <v>1061</v>
      </c>
      <c r="D232" s="72" t="str">
        <f t="shared" si="16"/>
        <v>C</v>
      </c>
      <c r="E232" s="72" t="s">
        <v>84</v>
      </c>
      <c r="F232" s="163" t="s">
        <v>335</v>
      </c>
      <c r="G232" s="72" t="s">
        <v>516</v>
      </c>
      <c r="H232" s="164" t="s">
        <v>1085</v>
      </c>
      <c r="I232" s="72" t="s">
        <v>668</v>
      </c>
      <c r="J232" s="148"/>
      <c r="K232" s="75">
        <v>30000</v>
      </c>
      <c r="L232" s="75">
        <f t="shared" si="15"/>
        <v>0</v>
      </c>
      <c r="M232" s="75">
        <f t="shared" si="17"/>
        <v>30000</v>
      </c>
      <c r="N232" s="165"/>
      <c r="O232" s="150"/>
      <c r="P232" s="150"/>
      <c r="Q232" s="151">
        <f t="shared" si="18"/>
        <v>27000</v>
      </c>
      <c r="R232" s="152"/>
      <c r="S232" s="75">
        <v>27000</v>
      </c>
      <c r="T232" s="75"/>
      <c r="U232" s="75"/>
      <c r="V232" s="153"/>
      <c r="W232" s="55"/>
      <c r="X232" s="55"/>
      <c r="Y232" s="55"/>
      <c r="Z232" s="55"/>
      <c r="AA232" s="154"/>
    </row>
    <row r="233" spans="1:32" s="114" customFormat="1" ht="58.65" customHeight="1">
      <c r="A233" s="70">
        <f>MAX(A$14:$A232)+1</f>
        <v>209</v>
      </c>
      <c r="B233" s="162" t="s">
        <v>1086</v>
      </c>
      <c r="C233" s="166" t="s">
        <v>1061</v>
      </c>
      <c r="D233" s="72" t="str">
        <f t="shared" si="16"/>
        <v>B</v>
      </c>
      <c r="E233" s="72" t="s">
        <v>84</v>
      </c>
      <c r="F233" s="163" t="s">
        <v>352</v>
      </c>
      <c r="G233" s="72" t="s">
        <v>516</v>
      </c>
      <c r="H233" s="164" t="s">
        <v>1087</v>
      </c>
      <c r="I233" s="72" t="s">
        <v>668</v>
      </c>
      <c r="J233" s="148"/>
      <c r="K233" s="75">
        <v>50000</v>
      </c>
      <c r="L233" s="75">
        <f t="shared" si="15"/>
        <v>0</v>
      </c>
      <c r="M233" s="75">
        <f t="shared" si="17"/>
        <v>50000</v>
      </c>
      <c r="N233" s="165"/>
      <c r="O233" s="150"/>
      <c r="P233" s="150"/>
      <c r="Q233" s="151">
        <f t="shared" si="18"/>
        <v>45000</v>
      </c>
      <c r="R233" s="152"/>
      <c r="S233" s="75">
        <v>45000</v>
      </c>
      <c r="T233" s="75"/>
      <c r="U233" s="75"/>
      <c r="V233" s="153"/>
      <c r="W233" s="55"/>
      <c r="X233" s="55"/>
      <c r="Y233" s="55"/>
      <c r="Z233" s="55"/>
      <c r="AA233" s="154"/>
    </row>
    <row r="234" spans="1:32" s="114" customFormat="1" ht="58.65" customHeight="1">
      <c r="A234" s="70">
        <f>MAX(A$14:$A233)+1</f>
        <v>210</v>
      </c>
      <c r="B234" s="162" t="s">
        <v>1088</v>
      </c>
      <c r="C234" s="166" t="s">
        <v>1061</v>
      </c>
      <c r="D234" s="72" t="str">
        <f t="shared" si="16"/>
        <v>B</v>
      </c>
      <c r="E234" s="72" t="s">
        <v>84</v>
      </c>
      <c r="F234" s="163" t="s">
        <v>325</v>
      </c>
      <c r="G234" s="72" t="s">
        <v>516</v>
      </c>
      <c r="H234" s="164" t="s">
        <v>1089</v>
      </c>
      <c r="I234" s="72" t="s">
        <v>668</v>
      </c>
      <c r="J234" s="148"/>
      <c r="K234" s="75">
        <v>70000</v>
      </c>
      <c r="L234" s="75">
        <f t="shared" si="15"/>
        <v>0</v>
      </c>
      <c r="M234" s="75">
        <f t="shared" si="17"/>
        <v>70000</v>
      </c>
      <c r="N234" s="165"/>
      <c r="O234" s="150"/>
      <c r="P234" s="150"/>
      <c r="Q234" s="151">
        <f t="shared" si="18"/>
        <v>63000</v>
      </c>
      <c r="R234" s="152"/>
      <c r="S234" s="75">
        <v>63000</v>
      </c>
      <c r="T234" s="75"/>
      <c r="U234" s="75"/>
      <c r="V234" s="153"/>
      <c r="W234" s="55"/>
      <c r="X234" s="55"/>
      <c r="Y234" s="55"/>
      <c r="Z234" s="55"/>
      <c r="AA234" s="154"/>
    </row>
    <row r="235" spans="1:32" s="171" customFormat="1" ht="24.75" customHeight="1">
      <c r="A235" s="167" t="s">
        <v>521</v>
      </c>
      <c r="B235" s="66" t="s">
        <v>1090</v>
      </c>
      <c r="C235" s="67"/>
      <c r="D235" s="67"/>
      <c r="E235" s="67"/>
      <c r="F235" s="67"/>
      <c r="G235" s="67"/>
      <c r="H235" s="67"/>
      <c r="I235" s="116"/>
      <c r="J235" s="67"/>
      <c r="K235" s="168">
        <f>SUM(K236:K332)</f>
        <v>1398160</v>
      </c>
      <c r="L235" s="168">
        <f t="shared" ref="L235:T235" si="19">SUM(L236:L332)</f>
        <v>0</v>
      </c>
      <c r="M235" s="168">
        <f t="shared" si="19"/>
        <v>1398160</v>
      </c>
      <c r="N235" s="168">
        <f t="shared" si="19"/>
        <v>0</v>
      </c>
      <c r="O235" s="168">
        <f t="shared" si="19"/>
        <v>0</v>
      </c>
      <c r="P235" s="168">
        <f t="shared" si="19"/>
        <v>0</v>
      </c>
      <c r="Q235" s="168">
        <f t="shared" si="19"/>
        <v>548400</v>
      </c>
      <c r="R235" s="168">
        <f t="shared" si="19"/>
        <v>0</v>
      </c>
      <c r="S235" s="168">
        <f t="shared" si="19"/>
        <v>1271460</v>
      </c>
      <c r="T235" s="168">
        <f t="shared" si="19"/>
        <v>225960</v>
      </c>
      <c r="U235" s="168">
        <f>SUM(U236:U332)</f>
        <v>3250</v>
      </c>
      <c r="V235" s="69"/>
      <c r="W235" s="55"/>
      <c r="X235" s="55"/>
      <c r="Y235" s="55"/>
      <c r="Z235" s="55"/>
      <c r="AA235" s="169">
        <f>S235/K235</f>
        <v>0.9093809006122332</v>
      </c>
      <c r="AB235" s="170"/>
      <c r="AC235" s="170"/>
      <c r="AD235" s="170"/>
      <c r="AE235" s="170"/>
      <c r="AF235" s="170"/>
    </row>
    <row r="236" spans="1:32" s="114" customFormat="1" ht="49.65" customHeight="1">
      <c r="A236" s="70">
        <f>MAX(A$14:$A235)+1</f>
        <v>211</v>
      </c>
      <c r="B236" s="162" t="s">
        <v>1091</v>
      </c>
      <c r="C236" s="166" t="s">
        <v>1092</v>
      </c>
      <c r="D236" s="72" t="s">
        <v>84</v>
      </c>
      <c r="E236" s="72"/>
      <c r="F236" s="163" t="s">
        <v>311</v>
      </c>
      <c r="G236" s="72" t="s">
        <v>1093</v>
      </c>
      <c r="H236" s="164" t="s">
        <v>1094</v>
      </c>
      <c r="I236" s="72" t="s">
        <v>607</v>
      </c>
      <c r="J236" s="148"/>
      <c r="K236" s="75">
        <v>25000</v>
      </c>
      <c r="L236" s="75">
        <v>0</v>
      </c>
      <c r="M236" s="75">
        <v>25000</v>
      </c>
      <c r="N236" s="165"/>
      <c r="O236" s="150"/>
      <c r="P236" s="150"/>
      <c r="Q236" s="151"/>
      <c r="R236" s="152"/>
      <c r="S236" s="75">
        <v>25000</v>
      </c>
      <c r="T236" s="75">
        <v>12500</v>
      </c>
      <c r="U236" s="75"/>
      <c r="V236" s="153"/>
      <c r="W236" s="55"/>
      <c r="X236" s="55"/>
      <c r="Y236" s="55"/>
      <c r="Z236" s="55"/>
      <c r="AA236" s="154"/>
    </row>
    <row r="237" spans="1:32" s="114" customFormat="1" ht="49.65" customHeight="1">
      <c r="A237" s="70">
        <f>MAX(A$14:$A236)+1</f>
        <v>212</v>
      </c>
      <c r="B237" s="162" t="s">
        <v>1095</v>
      </c>
      <c r="C237" s="166" t="s">
        <v>1092</v>
      </c>
      <c r="D237" s="72" t="s">
        <v>84</v>
      </c>
      <c r="E237" s="72"/>
      <c r="F237" s="163" t="s">
        <v>313</v>
      </c>
      <c r="G237" s="72" t="s">
        <v>1096</v>
      </c>
      <c r="H237" s="164" t="s">
        <v>1094</v>
      </c>
      <c r="I237" s="72" t="s">
        <v>607</v>
      </c>
      <c r="J237" s="148"/>
      <c r="K237" s="75">
        <v>11000</v>
      </c>
      <c r="L237" s="75">
        <v>0</v>
      </c>
      <c r="M237" s="75">
        <v>11000</v>
      </c>
      <c r="N237" s="165"/>
      <c r="O237" s="150"/>
      <c r="P237" s="150"/>
      <c r="Q237" s="151"/>
      <c r="R237" s="152"/>
      <c r="S237" s="75">
        <v>11000</v>
      </c>
      <c r="T237" s="75">
        <v>5500</v>
      </c>
      <c r="U237" s="75"/>
      <c r="V237" s="153"/>
      <c r="W237" s="55"/>
      <c r="X237" s="55"/>
      <c r="Y237" s="55"/>
      <c r="Z237" s="55"/>
      <c r="AA237" s="154"/>
    </row>
    <row r="238" spans="1:32" s="114" customFormat="1" ht="49.65" customHeight="1">
      <c r="A238" s="70">
        <f>MAX(A$14:$A237)+1</f>
        <v>213</v>
      </c>
      <c r="B238" s="162" t="s">
        <v>1097</v>
      </c>
      <c r="C238" s="166" t="s">
        <v>1092</v>
      </c>
      <c r="D238" s="72" t="s">
        <v>84</v>
      </c>
      <c r="E238" s="72"/>
      <c r="F238" s="163" t="s">
        <v>311</v>
      </c>
      <c r="G238" s="72" t="s">
        <v>1098</v>
      </c>
      <c r="H238" s="164" t="s">
        <v>1094</v>
      </c>
      <c r="I238" s="72" t="s">
        <v>568</v>
      </c>
      <c r="J238" s="148"/>
      <c r="K238" s="75">
        <v>10000</v>
      </c>
      <c r="L238" s="75">
        <v>0</v>
      </c>
      <c r="M238" s="75">
        <v>10000</v>
      </c>
      <c r="N238" s="165"/>
      <c r="O238" s="150"/>
      <c r="P238" s="150"/>
      <c r="Q238" s="151"/>
      <c r="R238" s="152"/>
      <c r="S238" s="75">
        <v>10000</v>
      </c>
      <c r="T238" s="75">
        <v>5000</v>
      </c>
      <c r="U238" s="75"/>
      <c r="V238" s="153"/>
      <c r="W238" s="55"/>
      <c r="X238" s="55"/>
      <c r="Y238" s="55"/>
      <c r="Z238" s="55"/>
      <c r="AA238" s="154"/>
    </row>
    <row r="239" spans="1:32" s="114" customFormat="1" ht="49.65" customHeight="1">
      <c r="A239" s="70">
        <f>MAX(A$14:$A238)+1</f>
        <v>214</v>
      </c>
      <c r="B239" s="162" t="s">
        <v>1099</v>
      </c>
      <c r="C239" s="166" t="s">
        <v>1092</v>
      </c>
      <c r="D239" s="72" t="s">
        <v>84</v>
      </c>
      <c r="E239" s="72"/>
      <c r="F239" s="163" t="s">
        <v>1100</v>
      </c>
      <c r="G239" s="72" t="s">
        <v>1101</v>
      </c>
      <c r="H239" s="164" t="s">
        <v>1094</v>
      </c>
      <c r="I239" s="72" t="s">
        <v>568</v>
      </c>
      <c r="J239" s="148"/>
      <c r="K239" s="75">
        <v>23900</v>
      </c>
      <c r="L239" s="75">
        <v>0</v>
      </c>
      <c r="M239" s="75">
        <v>23900</v>
      </c>
      <c r="N239" s="165"/>
      <c r="O239" s="150"/>
      <c r="P239" s="150"/>
      <c r="Q239" s="151"/>
      <c r="R239" s="152"/>
      <c r="S239" s="75">
        <v>23900</v>
      </c>
      <c r="T239" s="75">
        <v>11950</v>
      </c>
      <c r="U239" s="75"/>
      <c r="V239" s="153"/>
      <c r="W239" s="55"/>
      <c r="X239" s="55"/>
      <c r="Y239" s="55"/>
      <c r="Z239" s="55"/>
      <c r="AA239" s="154"/>
    </row>
    <row r="240" spans="1:32" s="114" customFormat="1" ht="49.65" customHeight="1">
      <c r="A240" s="70">
        <f>MAX(A$14:$A239)+1</f>
        <v>215</v>
      </c>
      <c r="B240" s="162" t="s">
        <v>1102</v>
      </c>
      <c r="C240" s="166" t="s">
        <v>1092</v>
      </c>
      <c r="D240" s="72" t="s">
        <v>84</v>
      </c>
      <c r="E240" s="72"/>
      <c r="F240" s="163" t="s">
        <v>1103</v>
      </c>
      <c r="G240" s="72" t="s">
        <v>1104</v>
      </c>
      <c r="H240" s="164" t="s">
        <v>1094</v>
      </c>
      <c r="I240" s="72" t="s">
        <v>728</v>
      </c>
      <c r="J240" s="148"/>
      <c r="K240" s="75">
        <v>12600</v>
      </c>
      <c r="L240" s="75">
        <v>0</v>
      </c>
      <c r="M240" s="75">
        <v>12600</v>
      </c>
      <c r="N240" s="165"/>
      <c r="O240" s="150"/>
      <c r="P240" s="150"/>
      <c r="Q240" s="151"/>
      <c r="R240" s="152"/>
      <c r="S240" s="75">
        <v>12600</v>
      </c>
      <c r="T240" s="75"/>
      <c r="U240" s="75"/>
      <c r="V240" s="153"/>
      <c r="W240" s="55"/>
      <c r="X240" s="55"/>
      <c r="Y240" s="55"/>
      <c r="Z240" s="55"/>
      <c r="AA240" s="154"/>
    </row>
    <row r="241" spans="1:27" s="114" customFormat="1" ht="49.65" customHeight="1">
      <c r="A241" s="70">
        <f>MAX(A$14:$A240)+1</f>
        <v>216</v>
      </c>
      <c r="B241" s="162" t="s">
        <v>1105</v>
      </c>
      <c r="C241" s="166" t="s">
        <v>1092</v>
      </c>
      <c r="D241" s="72" t="s">
        <v>84</v>
      </c>
      <c r="E241" s="72"/>
      <c r="F241" s="163" t="s">
        <v>1106</v>
      </c>
      <c r="G241" s="72" t="s">
        <v>1104</v>
      </c>
      <c r="H241" s="164" t="s">
        <v>1094</v>
      </c>
      <c r="I241" s="72" t="s">
        <v>728</v>
      </c>
      <c r="J241" s="148"/>
      <c r="K241" s="75">
        <v>12500</v>
      </c>
      <c r="L241" s="75">
        <v>0</v>
      </c>
      <c r="M241" s="75">
        <v>12500</v>
      </c>
      <c r="N241" s="165"/>
      <c r="O241" s="150"/>
      <c r="P241" s="150"/>
      <c r="Q241" s="151"/>
      <c r="R241" s="152"/>
      <c r="S241" s="75">
        <v>12500</v>
      </c>
      <c r="T241" s="75"/>
      <c r="U241" s="75"/>
      <c r="V241" s="153"/>
      <c r="W241" s="55"/>
      <c r="X241" s="55"/>
      <c r="Y241" s="55"/>
      <c r="Z241" s="55"/>
      <c r="AA241" s="154"/>
    </row>
    <row r="242" spans="1:27" s="114" customFormat="1" ht="49.65" customHeight="1">
      <c r="A242" s="70">
        <f>MAX(A$14:$A241)+1</f>
        <v>217</v>
      </c>
      <c r="B242" s="162" t="s">
        <v>1107</v>
      </c>
      <c r="C242" s="166" t="s">
        <v>1092</v>
      </c>
      <c r="D242" s="72" t="s">
        <v>84</v>
      </c>
      <c r="E242" s="72"/>
      <c r="F242" s="163" t="s">
        <v>312</v>
      </c>
      <c r="G242" s="72" t="s">
        <v>1108</v>
      </c>
      <c r="H242" s="164" t="s">
        <v>1094</v>
      </c>
      <c r="I242" s="72" t="s">
        <v>738</v>
      </c>
      <c r="J242" s="148"/>
      <c r="K242" s="75">
        <v>12200</v>
      </c>
      <c r="L242" s="75">
        <v>0</v>
      </c>
      <c r="M242" s="75">
        <v>12200</v>
      </c>
      <c r="N242" s="165"/>
      <c r="O242" s="150"/>
      <c r="P242" s="150"/>
      <c r="Q242" s="151"/>
      <c r="R242" s="152"/>
      <c r="S242" s="75">
        <v>12200</v>
      </c>
      <c r="T242" s="75"/>
      <c r="U242" s="75"/>
      <c r="V242" s="153"/>
      <c r="W242" s="55"/>
      <c r="X242" s="55"/>
      <c r="Y242" s="55"/>
      <c r="Z242" s="55"/>
      <c r="AA242" s="154"/>
    </row>
    <row r="243" spans="1:27" s="114" customFormat="1" ht="49.65" customHeight="1">
      <c r="A243" s="70">
        <f>MAX(A$14:$A242)+1</f>
        <v>218</v>
      </c>
      <c r="B243" s="162" t="s">
        <v>1109</v>
      </c>
      <c r="C243" s="166" t="s">
        <v>1092</v>
      </c>
      <c r="D243" s="72" t="s">
        <v>84</v>
      </c>
      <c r="E243" s="72"/>
      <c r="F243" s="163" t="s">
        <v>311</v>
      </c>
      <c r="G243" s="72" t="s">
        <v>1110</v>
      </c>
      <c r="H243" s="164" t="s">
        <v>1094</v>
      </c>
      <c r="I243" s="72" t="s">
        <v>607</v>
      </c>
      <c r="J243" s="148"/>
      <c r="K243" s="75">
        <v>6500</v>
      </c>
      <c r="L243" s="75">
        <v>0</v>
      </c>
      <c r="M243" s="75">
        <v>6500</v>
      </c>
      <c r="N243" s="165"/>
      <c r="O243" s="150"/>
      <c r="P243" s="150"/>
      <c r="Q243" s="151"/>
      <c r="R243" s="152"/>
      <c r="S243" s="75">
        <v>6500</v>
      </c>
      <c r="T243" s="75">
        <v>3250</v>
      </c>
      <c r="U243" s="75">
        <v>3250</v>
      </c>
      <c r="V243" s="153"/>
      <c r="W243" s="55"/>
      <c r="X243" s="55"/>
      <c r="Y243" s="55"/>
      <c r="Z243" s="55"/>
      <c r="AA243" s="154"/>
    </row>
    <row r="244" spans="1:27" s="114" customFormat="1" ht="49.65" customHeight="1">
      <c r="A244" s="70">
        <f>MAX(A$14:$A243)+1</f>
        <v>219</v>
      </c>
      <c r="B244" s="162" t="s">
        <v>1111</v>
      </c>
      <c r="C244" s="166" t="s">
        <v>1092</v>
      </c>
      <c r="D244" s="72" t="s">
        <v>84</v>
      </c>
      <c r="E244" s="72"/>
      <c r="F244" s="163" t="s">
        <v>311</v>
      </c>
      <c r="G244" s="72" t="s">
        <v>1112</v>
      </c>
      <c r="H244" s="164" t="s">
        <v>1094</v>
      </c>
      <c r="I244" s="72" t="s">
        <v>728</v>
      </c>
      <c r="J244" s="148"/>
      <c r="K244" s="75">
        <v>12600</v>
      </c>
      <c r="L244" s="75">
        <v>0</v>
      </c>
      <c r="M244" s="75">
        <v>12600</v>
      </c>
      <c r="N244" s="165"/>
      <c r="O244" s="150"/>
      <c r="P244" s="150"/>
      <c r="Q244" s="151"/>
      <c r="R244" s="152"/>
      <c r="S244" s="75">
        <v>12600</v>
      </c>
      <c r="T244" s="75"/>
      <c r="U244" s="75"/>
      <c r="V244" s="153"/>
      <c r="W244" s="55"/>
      <c r="X244" s="55"/>
      <c r="Y244" s="55"/>
      <c r="Z244" s="55"/>
      <c r="AA244" s="154"/>
    </row>
    <row r="245" spans="1:27" s="114" customFormat="1" ht="49.65" customHeight="1">
      <c r="A245" s="70">
        <f>MAX(A$14:$A244)+1</f>
        <v>220</v>
      </c>
      <c r="B245" s="162" t="s">
        <v>1113</v>
      </c>
      <c r="C245" s="166" t="s">
        <v>1092</v>
      </c>
      <c r="D245" s="72" t="s">
        <v>84</v>
      </c>
      <c r="E245" s="72"/>
      <c r="F245" s="163" t="s">
        <v>1114</v>
      </c>
      <c r="G245" s="72" t="s">
        <v>1115</v>
      </c>
      <c r="H245" s="164" t="s">
        <v>1094</v>
      </c>
      <c r="I245" s="72" t="s">
        <v>728</v>
      </c>
      <c r="J245" s="148"/>
      <c r="K245" s="75">
        <v>7200</v>
      </c>
      <c r="L245" s="75">
        <v>0</v>
      </c>
      <c r="M245" s="75">
        <v>7200</v>
      </c>
      <c r="N245" s="165"/>
      <c r="O245" s="150"/>
      <c r="P245" s="150"/>
      <c r="Q245" s="151"/>
      <c r="R245" s="152"/>
      <c r="S245" s="75">
        <v>7200</v>
      </c>
      <c r="T245" s="75"/>
      <c r="U245" s="75"/>
      <c r="V245" s="153"/>
      <c r="W245" s="55"/>
      <c r="X245" s="55"/>
      <c r="Y245" s="55"/>
      <c r="Z245" s="55"/>
      <c r="AA245" s="154"/>
    </row>
    <row r="246" spans="1:27" s="114" customFormat="1" ht="49.65" customHeight="1">
      <c r="A246" s="70">
        <f>MAX(A$14:$A245)+1</f>
        <v>221</v>
      </c>
      <c r="B246" s="162" t="s">
        <v>1116</v>
      </c>
      <c r="C246" s="166" t="s">
        <v>1092</v>
      </c>
      <c r="D246" s="72" t="s">
        <v>84</v>
      </c>
      <c r="E246" s="72"/>
      <c r="F246" s="163" t="s">
        <v>1117</v>
      </c>
      <c r="G246" s="72" t="s">
        <v>1118</v>
      </c>
      <c r="H246" s="164" t="s">
        <v>1094</v>
      </c>
      <c r="I246" s="72" t="s">
        <v>728</v>
      </c>
      <c r="J246" s="148"/>
      <c r="K246" s="75">
        <v>7800</v>
      </c>
      <c r="L246" s="75">
        <v>0</v>
      </c>
      <c r="M246" s="75">
        <v>7800</v>
      </c>
      <c r="N246" s="165"/>
      <c r="O246" s="150"/>
      <c r="P246" s="150"/>
      <c r="Q246" s="151"/>
      <c r="R246" s="152"/>
      <c r="S246" s="75">
        <v>7800</v>
      </c>
      <c r="T246" s="75"/>
      <c r="U246" s="75"/>
      <c r="V246" s="153"/>
      <c r="W246" s="55"/>
      <c r="X246" s="55"/>
      <c r="Y246" s="55"/>
      <c r="Z246" s="55"/>
      <c r="AA246" s="154"/>
    </row>
    <row r="247" spans="1:27" s="114" customFormat="1" ht="49.65" customHeight="1">
      <c r="A247" s="70">
        <f>MAX(A$14:$A246)+1</f>
        <v>222</v>
      </c>
      <c r="B247" s="162" t="s">
        <v>1119</v>
      </c>
      <c r="C247" s="166" t="s">
        <v>125</v>
      </c>
      <c r="D247" s="72" t="s">
        <v>84</v>
      </c>
      <c r="E247" s="72" t="s">
        <v>84</v>
      </c>
      <c r="F247" s="163" t="s">
        <v>352</v>
      </c>
      <c r="G247" s="72" t="s">
        <v>1120</v>
      </c>
      <c r="H247" s="164" t="s">
        <v>1121</v>
      </c>
      <c r="I247" s="72" t="s">
        <v>612</v>
      </c>
      <c r="J247" s="148"/>
      <c r="K247" s="75">
        <v>15000</v>
      </c>
      <c r="L247" s="75"/>
      <c r="M247" s="75">
        <v>15000</v>
      </c>
      <c r="N247" s="165"/>
      <c r="O247" s="150"/>
      <c r="P247" s="150"/>
      <c r="Q247" s="151"/>
      <c r="R247" s="152"/>
      <c r="S247" s="75">
        <v>15000</v>
      </c>
      <c r="T247" s="75"/>
      <c r="U247" s="75"/>
      <c r="V247" s="153"/>
      <c r="W247" s="55"/>
      <c r="X247" s="55"/>
      <c r="Y247" s="55"/>
      <c r="Z247" s="55"/>
      <c r="AA247" s="154"/>
    </row>
    <row r="248" spans="1:27" s="114" customFormat="1" ht="49.65" customHeight="1">
      <c r="A248" s="70">
        <f>MAX(A$14:$A247)+1</f>
        <v>223</v>
      </c>
      <c r="B248" s="162" t="s">
        <v>1122</v>
      </c>
      <c r="C248" s="129" t="s">
        <v>632</v>
      </c>
      <c r="D248" s="72" t="s">
        <v>84</v>
      </c>
      <c r="E248" s="72"/>
      <c r="F248" s="163" t="s">
        <v>1123</v>
      </c>
      <c r="G248" s="72" t="s">
        <v>1124</v>
      </c>
      <c r="H248" s="164" t="s">
        <v>1125</v>
      </c>
      <c r="I248" s="72" t="s">
        <v>416</v>
      </c>
      <c r="J248" s="148"/>
      <c r="K248" s="75">
        <v>50000</v>
      </c>
      <c r="L248" s="75"/>
      <c r="M248" s="75">
        <v>50000</v>
      </c>
      <c r="N248" s="165"/>
      <c r="O248" s="150"/>
      <c r="P248" s="150"/>
      <c r="Q248" s="151"/>
      <c r="R248" s="152"/>
      <c r="S248" s="75">
        <f>P248</f>
        <v>0</v>
      </c>
      <c r="T248" s="75"/>
      <c r="U248" s="75"/>
      <c r="V248" s="153"/>
      <c r="W248" s="55"/>
      <c r="X248" s="55"/>
      <c r="Y248" s="55"/>
      <c r="Z248" s="55"/>
      <c r="AA248" s="154"/>
    </row>
    <row r="249" spans="1:27" s="114" customFormat="1" ht="40.200000000000003" customHeight="1">
      <c r="A249" s="70">
        <f>MAX(A$14:$A248)+1</f>
        <v>224</v>
      </c>
      <c r="B249" s="162" t="s">
        <v>1126</v>
      </c>
      <c r="C249" s="129" t="s">
        <v>632</v>
      </c>
      <c r="D249" s="72" t="s">
        <v>84</v>
      </c>
      <c r="E249" s="72"/>
      <c r="F249" s="163" t="s">
        <v>344</v>
      </c>
      <c r="G249" s="72" t="s">
        <v>1127</v>
      </c>
      <c r="H249" s="164" t="s">
        <v>1128</v>
      </c>
      <c r="I249" s="72" t="s">
        <v>547</v>
      </c>
      <c r="J249" s="148"/>
      <c r="K249" s="75">
        <v>52500</v>
      </c>
      <c r="L249" s="75"/>
      <c r="M249" s="75">
        <v>52500</v>
      </c>
      <c r="N249" s="165"/>
      <c r="O249" s="150"/>
      <c r="P249" s="150"/>
      <c r="Q249" s="151"/>
      <c r="R249" s="152"/>
      <c r="S249" s="75">
        <v>45000</v>
      </c>
      <c r="T249" s="75"/>
      <c r="U249" s="75"/>
      <c r="V249" s="153"/>
      <c r="W249" s="55"/>
      <c r="X249" s="55"/>
      <c r="Y249" s="55"/>
      <c r="Z249" s="55"/>
      <c r="AA249" s="154"/>
    </row>
    <row r="250" spans="1:27" s="114" customFormat="1" ht="40.200000000000003" customHeight="1">
      <c r="A250" s="70">
        <f>MAX(A$14:$A249)+1</f>
        <v>225</v>
      </c>
      <c r="B250" s="162" t="s">
        <v>1129</v>
      </c>
      <c r="C250" s="129" t="s">
        <v>632</v>
      </c>
      <c r="D250" s="72" t="s">
        <v>84</v>
      </c>
      <c r="E250" s="72"/>
      <c r="F250" s="163" t="s">
        <v>344</v>
      </c>
      <c r="G250" s="72" t="s">
        <v>1130</v>
      </c>
      <c r="H250" s="164"/>
      <c r="I250" s="72" t="s">
        <v>547</v>
      </c>
      <c r="J250" s="148"/>
      <c r="K250" s="75">
        <v>5700</v>
      </c>
      <c r="L250" s="75"/>
      <c r="M250" s="75">
        <v>5700</v>
      </c>
      <c r="N250" s="165"/>
      <c r="O250" s="150"/>
      <c r="P250" s="150"/>
      <c r="Q250" s="151"/>
      <c r="R250" s="152"/>
      <c r="S250" s="75">
        <v>5700</v>
      </c>
      <c r="T250" s="75"/>
      <c r="U250" s="75"/>
      <c r="V250" s="153"/>
      <c r="W250" s="55"/>
      <c r="X250" s="55"/>
      <c r="Y250" s="55"/>
      <c r="Z250" s="55"/>
      <c r="AA250" s="154"/>
    </row>
    <row r="251" spans="1:27" s="114" customFormat="1" ht="40.200000000000003" customHeight="1">
      <c r="A251" s="70">
        <f>MAX(A$14:$A250)+1</f>
        <v>226</v>
      </c>
      <c r="B251" s="162" t="s">
        <v>1131</v>
      </c>
      <c r="C251" s="129" t="s">
        <v>632</v>
      </c>
      <c r="D251" s="72" t="s">
        <v>84</v>
      </c>
      <c r="E251" s="72"/>
      <c r="F251" s="163" t="s">
        <v>343</v>
      </c>
      <c r="G251" s="72" t="s">
        <v>1132</v>
      </c>
      <c r="H251" s="164"/>
      <c r="I251" s="72" t="s">
        <v>607</v>
      </c>
      <c r="J251" s="148"/>
      <c r="K251" s="75">
        <v>5200</v>
      </c>
      <c r="L251" s="75"/>
      <c r="M251" s="75">
        <v>5200</v>
      </c>
      <c r="N251" s="165"/>
      <c r="O251" s="150"/>
      <c r="P251" s="150"/>
      <c r="Q251" s="151"/>
      <c r="R251" s="152"/>
      <c r="S251" s="75">
        <v>5200</v>
      </c>
      <c r="T251" s="75"/>
      <c r="U251" s="75"/>
      <c r="V251" s="153"/>
      <c r="W251" s="55"/>
      <c r="X251" s="55"/>
      <c r="Y251" s="55"/>
      <c r="Z251" s="55"/>
      <c r="AA251" s="154"/>
    </row>
    <row r="252" spans="1:27" s="114" customFormat="1" ht="40.200000000000003" customHeight="1">
      <c r="A252" s="70">
        <f>MAX(A$14:$A251)+1</f>
        <v>227</v>
      </c>
      <c r="B252" s="162" t="s">
        <v>1133</v>
      </c>
      <c r="C252" s="129" t="s">
        <v>632</v>
      </c>
      <c r="D252" s="72" t="s">
        <v>84</v>
      </c>
      <c r="E252" s="72"/>
      <c r="F252" s="163" t="s">
        <v>1134</v>
      </c>
      <c r="G252" s="72" t="s">
        <v>1135</v>
      </c>
      <c r="H252" s="164"/>
      <c r="I252" s="72" t="s">
        <v>568</v>
      </c>
      <c r="J252" s="148"/>
      <c r="K252" s="75">
        <v>8000</v>
      </c>
      <c r="L252" s="75"/>
      <c r="M252" s="75">
        <v>8000</v>
      </c>
      <c r="N252" s="165"/>
      <c r="O252" s="150"/>
      <c r="P252" s="150"/>
      <c r="Q252" s="151"/>
      <c r="R252" s="152"/>
      <c r="S252" s="75">
        <v>8000</v>
      </c>
      <c r="T252" s="75"/>
      <c r="U252" s="75"/>
      <c r="V252" s="153"/>
      <c r="W252" s="55"/>
      <c r="X252" s="55"/>
      <c r="Y252" s="55"/>
      <c r="Z252" s="55"/>
      <c r="AA252" s="154"/>
    </row>
    <row r="253" spans="1:27" s="114" customFormat="1" ht="40.200000000000003" customHeight="1">
      <c r="A253" s="70">
        <f>MAX(A$14:$A252)+1</f>
        <v>228</v>
      </c>
      <c r="B253" s="162" t="s">
        <v>1136</v>
      </c>
      <c r="C253" s="129" t="s">
        <v>632</v>
      </c>
      <c r="D253" s="72" t="s">
        <v>84</v>
      </c>
      <c r="E253" s="72"/>
      <c r="F253" s="163" t="s">
        <v>343</v>
      </c>
      <c r="G253" s="72" t="s">
        <v>1137</v>
      </c>
      <c r="H253" s="164"/>
      <c r="I253" s="72" t="s">
        <v>568</v>
      </c>
      <c r="J253" s="148"/>
      <c r="K253" s="75">
        <v>4500</v>
      </c>
      <c r="L253" s="75"/>
      <c r="M253" s="75">
        <v>4500</v>
      </c>
      <c r="N253" s="165"/>
      <c r="O253" s="150"/>
      <c r="P253" s="150"/>
      <c r="Q253" s="151"/>
      <c r="R253" s="152"/>
      <c r="S253" s="75">
        <v>4500</v>
      </c>
      <c r="T253" s="75"/>
      <c r="U253" s="75"/>
      <c r="V253" s="153"/>
      <c r="W253" s="55"/>
      <c r="X253" s="55"/>
      <c r="Y253" s="55"/>
      <c r="Z253" s="55"/>
      <c r="AA253" s="154"/>
    </row>
    <row r="254" spans="1:27" s="114" customFormat="1" ht="40.200000000000003" customHeight="1">
      <c r="A254" s="70">
        <f>MAX(A$14:$A253)+1</f>
        <v>229</v>
      </c>
      <c r="B254" s="162" t="s">
        <v>1138</v>
      </c>
      <c r="C254" s="129" t="s">
        <v>632</v>
      </c>
      <c r="D254" s="72" t="s">
        <v>84</v>
      </c>
      <c r="E254" s="72"/>
      <c r="F254" s="163" t="s">
        <v>344</v>
      </c>
      <c r="G254" s="72" t="s">
        <v>1139</v>
      </c>
      <c r="H254" s="164"/>
      <c r="I254" s="72" t="s">
        <v>547</v>
      </c>
      <c r="J254" s="148"/>
      <c r="K254" s="75">
        <v>52400</v>
      </c>
      <c r="L254" s="75"/>
      <c r="M254" s="75">
        <v>52400</v>
      </c>
      <c r="N254" s="165"/>
      <c r="O254" s="150"/>
      <c r="P254" s="150"/>
      <c r="Q254" s="151"/>
      <c r="R254" s="152"/>
      <c r="S254" s="75">
        <v>40000</v>
      </c>
      <c r="T254" s="75"/>
      <c r="U254" s="75"/>
      <c r="V254" s="153"/>
      <c r="W254" s="55"/>
      <c r="X254" s="55"/>
      <c r="Y254" s="55"/>
      <c r="Z254" s="55"/>
      <c r="AA254" s="154"/>
    </row>
    <row r="255" spans="1:27" s="114" customFormat="1" ht="40.200000000000003" customHeight="1">
      <c r="A255" s="70">
        <f>MAX(A$14:$A254)+1</f>
        <v>230</v>
      </c>
      <c r="B255" s="162" t="s">
        <v>1140</v>
      </c>
      <c r="C255" s="129" t="s">
        <v>632</v>
      </c>
      <c r="D255" s="72" t="s">
        <v>84</v>
      </c>
      <c r="E255" s="72"/>
      <c r="F255" s="163" t="s">
        <v>343</v>
      </c>
      <c r="G255" s="72" t="s">
        <v>1141</v>
      </c>
      <c r="H255" s="164"/>
      <c r="I255" s="72" t="s">
        <v>728</v>
      </c>
      <c r="J255" s="148"/>
      <c r="K255" s="75">
        <v>5000</v>
      </c>
      <c r="L255" s="75"/>
      <c r="M255" s="75">
        <v>5000</v>
      </c>
      <c r="N255" s="165"/>
      <c r="O255" s="150"/>
      <c r="P255" s="150"/>
      <c r="Q255" s="151"/>
      <c r="R255" s="152"/>
      <c r="S255" s="75">
        <v>5000</v>
      </c>
      <c r="T255" s="75"/>
      <c r="U255" s="75"/>
      <c r="V255" s="153"/>
      <c r="W255" s="55"/>
      <c r="X255" s="55"/>
      <c r="Y255" s="55"/>
      <c r="Z255" s="55"/>
      <c r="AA255" s="154"/>
    </row>
    <row r="256" spans="1:27" s="114" customFormat="1" ht="40.200000000000003" customHeight="1">
      <c r="A256" s="70">
        <f>MAX(A$14:$A255)+1</f>
        <v>231</v>
      </c>
      <c r="B256" s="162" t="s">
        <v>1142</v>
      </c>
      <c r="C256" s="129" t="s">
        <v>632</v>
      </c>
      <c r="D256" s="72" t="s">
        <v>84</v>
      </c>
      <c r="E256" s="72"/>
      <c r="F256" s="163" t="s">
        <v>344</v>
      </c>
      <c r="G256" s="72" t="s">
        <v>1143</v>
      </c>
      <c r="H256" s="164"/>
      <c r="I256" s="72" t="s">
        <v>612</v>
      </c>
      <c r="J256" s="148"/>
      <c r="K256" s="75">
        <v>10000</v>
      </c>
      <c r="L256" s="75"/>
      <c r="M256" s="75">
        <v>10000</v>
      </c>
      <c r="N256" s="165"/>
      <c r="O256" s="150"/>
      <c r="P256" s="150"/>
      <c r="Q256" s="151"/>
      <c r="R256" s="152"/>
      <c r="S256" s="75">
        <v>9000</v>
      </c>
      <c r="T256" s="75"/>
      <c r="U256" s="75"/>
      <c r="V256" s="153"/>
      <c r="W256" s="55"/>
      <c r="X256" s="55"/>
      <c r="Y256" s="55"/>
      <c r="Z256" s="55"/>
      <c r="AA256" s="154"/>
    </row>
    <row r="257" spans="1:27" s="114" customFormat="1" ht="40.200000000000003" customHeight="1">
      <c r="A257" s="70">
        <f>MAX(A$14:$A256)+1</f>
        <v>232</v>
      </c>
      <c r="B257" s="162" t="s">
        <v>1144</v>
      </c>
      <c r="C257" s="129" t="s">
        <v>632</v>
      </c>
      <c r="D257" s="72"/>
      <c r="E257" s="72"/>
      <c r="F257" s="163" t="s">
        <v>341</v>
      </c>
      <c r="G257" s="72" t="s">
        <v>1145</v>
      </c>
      <c r="H257" s="164"/>
      <c r="I257" s="72" t="s">
        <v>668</v>
      </c>
      <c r="J257" s="148"/>
      <c r="K257" s="75">
        <v>5400</v>
      </c>
      <c r="L257" s="75"/>
      <c r="M257" s="75">
        <v>5400</v>
      </c>
      <c r="N257" s="165"/>
      <c r="O257" s="150"/>
      <c r="P257" s="150"/>
      <c r="Q257" s="151"/>
      <c r="R257" s="152"/>
      <c r="S257" s="75">
        <v>5400</v>
      </c>
      <c r="T257" s="75"/>
      <c r="U257" s="75"/>
      <c r="V257" s="153"/>
      <c r="W257" s="55"/>
      <c r="X257" s="55"/>
      <c r="Y257" s="55"/>
      <c r="Z257" s="55"/>
      <c r="AA257" s="154"/>
    </row>
    <row r="258" spans="1:27" s="120" customFormat="1" ht="40.200000000000003" customHeight="1">
      <c r="A258" s="70">
        <f>MAX(A$14:$A257)+1</f>
        <v>233</v>
      </c>
      <c r="B258" s="134" t="s">
        <v>1146</v>
      </c>
      <c r="C258" s="129" t="s">
        <v>632</v>
      </c>
      <c r="D258" s="78"/>
      <c r="E258" s="78"/>
      <c r="F258" s="130" t="s">
        <v>342</v>
      </c>
      <c r="G258" s="78" t="s">
        <v>1147</v>
      </c>
      <c r="H258" s="138"/>
      <c r="I258" s="78" t="s">
        <v>612</v>
      </c>
      <c r="J258" s="148"/>
      <c r="K258" s="131">
        <v>4500</v>
      </c>
      <c r="L258" s="131"/>
      <c r="M258" s="131">
        <v>4500</v>
      </c>
      <c r="N258" s="149"/>
      <c r="O258" s="150"/>
      <c r="P258" s="150"/>
      <c r="Q258" s="151"/>
      <c r="R258" s="152"/>
      <c r="S258" s="131">
        <v>4500</v>
      </c>
      <c r="T258" s="131"/>
      <c r="U258" s="131"/>
      <c r="V258" s="153"/>
      <c r="W258" s="55"/>
      <c r="X258" s="55"/>
      <c r="Y258" s="55"/>
      <c r="Z258" s="55"/>
      <c r="AA258" s="154"/>
    </row>
    <row r="259" spans="1:27" s="120" customFormat="1" ht="40.200000000000003" customHeight="1">
      <c r="A259" s="70">
        <f>MAX(A$14:$A258)+1</f>
        <v>234</v>
      </c>
      <c r="B259" s="134" t="s">
        <v>1148</v>
      </c>
      <c r="C259" s="129" t="s">
        <v>632</v>
      </c>
      <c r="D259" s="78" t="s">
        <v>84</v>
      </c>
      <c r="E259" s="78"/>
      <c r="F259" s="130" t="s">
        <v>1134</v>
      </c>
      <c r="G259" s="78" t="s">
        <v>1149</v>
      </c>
      <c r="H259" s="138"/>
      <c r="I259" s="78" t="s">
        <v>547</v>
      </c>
      <c r="J259" s="148"/>
      <c r="K259" s="131">
        <v>6500</v>
      </c>
      <c r="L259" s="131"/>
      <c r="M259" s="131">
        <v>6500</v>
      </c>
      <c r="N259" s="149"/>
      <c r="O259" s="150"/>
      <c r="P259" s="150"/>
      <c r="Q259" s="151"/>
      <c r="R259" s="152"/>
      <c r="S259" s="131">
        <v>6500</v>
      </c>
      <c r="T259" s="131"/>
      <c r="U259" s="131"/>
      <c r="V259" s="153"/>
      <c r="W259" s="55"/>
      <c r="X259" s="55"/>
      <c r="Y259" s="55"/>
      <c r="Z259" s="55"/>
      <c r="AA259" s="154"/>
    </row>
    <row r="260" spans="1:27" s="120" customFormat="1" ht="40.200000000000003" customHeight="1">
      <c r="A260" s="70">
        <f>MAX(A$14:$A259)+1</f>
        <v>235</v>
      </c>
      <c r="B260" s="134" t="s">
        <v>1150</v>
      </c>
      <c r="C260" s="129" t="s">
        <v>632</v>
      </c>
      <c r="D260" s="78" t="s">
        <v>84</v>
      </c>
      <c r="E260" s="78"/>
      <c r="F260" s="130" t="s">
        <v>342</v>
      </c>
      <c r="G260" s="78" t="s">
        <v>1151</v>
      </c>
      <c r="H260" s="138"/>
      <c r="I260" s="78" t="s">
        <v>612</v>
      </c>
      <c r="J260" s="148"/>
      <c r="K260" s="131">
        <v>15000</v>
      </c>
      <c r="L260" s="131"/>
      <c r="M260" s="131">
        <v>15000</v>
      </c>
      <c r="N260" s="149"/>
      <c r="O260" s="150"/>
      <c r="P260" s="150"/>
      <c r="Q260" s="151"/>
      <c r="R260" s="152"/>
      <c r="S260" s="131">
        <v>15000</v>
      </c>
      <c r="T260" s="131"/>
      <c r="U260" s="131"/>
      <c r="V260" s="153"/>
      <c r="W260" s="55"/>
      <c r="X260" s="55"/>
      <c r="Y260" s="55"/>
      <c r="Z260" s="55"/>
      <c r="AA260" s="154"/>
    </row>
    <row r="261" spans="1:27" s="120" customFormat="1" ht="40.200000000000003" customHeight="1">
      <c r="A261" s="70">
        <f>MAX(A$14:$A260)+1</f>
        <v>236</v>
      </c>
      <c r="B261" s="134" t="s">
        <v>1152</v>
      </c>
      <c r="C261" s="129" t="s">
        <v>632</v>
      </c>
      <c r="D261" s="78" t="s">
        <v>84</v>
      </c>
      <c r="E261" s="78"/>
      <c r="F261" s="130" t="s">
        <v>341</v>
      </c>
      <c r="G261" s="78" t="s">
        <v>1153</v>
      </c>
      <c r="H261" s="138"/>
      <c r="I261" s="78" t="s">
        <v>568</v>
      </c>
      <c r="J261" s="148"/>
      <c r="K261" s="131">
        <v>9200</v>
      </c>
      <c r="L261" s="131"/>
      <c r="M261" s="131">
        <v>9200</v>
      </c>
      <c r="N261" s="149"/>
      <c r="O261" s="150"/>
      <c r="P261" s="150"/>
      <c r="Q261" s="151"/>
      <c r="R261" s="152"/>
      <c r="S261" s="131">
        <v>9200</v>
      </c>
      <c r="T261" s="131"/>
      <c r="U261" s="131"/>
      <c r="V261" s="153"/>
      <c r="W261" s="55"/>
      <c r="X261" s="55"/>
      <c r="Y261" s="55"/>
      <c r="Z261" s="55"/>
      <c r="AA261" s="154"/>
    </row>
    <row r="262" spans="1:27" s="120" customFormat="1" ht="40.200000000000003" customHeight="1">
      <c r="A262" s="70">
        <f>MAX(A$14:$A261)+1</f>
        <v>237</v>
      </c>
      <c r="B262" s="134" t="s">
        <v>1154</v>
      </c>
      <c r="C262" s="129" t="s">
        <v>632</v>
      </c>
      <c r="D262" s="78" t="s">
        <v>84</v>
      </c>
      <c r="E262" s="78"/>
      <c r="F262" s="130" t="s">
        <v>344</v>
      </c>
      <c r="G262" s="78" t="s">
        <v>1155</v>
      </c>
      <c r="H262" s="138"/>
      <c r="I262" s="78" t="s">
        <v>568</v>
      </c>
      <c r="J262" s="148"/>
      <c r="K262" s="131">
        <v>11000</v>
      </c>
      <c r="L262" s="131"/>
      <c r="M262" s="131">
        <v>11000</v>
      </c>
      <c r="N262" s="149"/>
      <c r="O262" s="150"/>
      <c r="P262" s="150"/>
      <c r="Q262" s="151"/>
      <c r="R262" s="152"/>
      <c r="S262" s="131">
        <v>11000</v>
      </c>
      <c r="T262" s="131"/>
      <c r="U262" s="131"/>
      <c r="V262" s="153"/>
      <c r="W262" s="55"/>
      <c r="X262" s="55"/>
      <c r="Y262" s="55"/>
      <c r="Z262" s="55"/>
      <c r="AA262" s="154"/>
    </row>
    <row r="263" spans="1:27" s="120" customFormat="1" ht="40.200000000000003" customHeight="1">
      <c r="A263" s="70">
        <f>MAX(A$14:$A262)+1</f>
        <v>238</v>
      </c>
      <c r="B263" s="134" t="s">
        <v>1156</v>
      </c>
      <c r="C263" s="129" t="s">
        <v>632</v>
      </c>
      <c r="D263" s="78" t="s">
        <v>84</v>
      </c>
      <c r="E263" s="78"/>
      <c r="F263" s="130" t="s">
        <v>343</v>
      </c>
      <c r="G263" s="78" t="s">
        <v>1157</v>
      </c>
      <c r="H263" s="138"/>
      <c r="I263" s="78" t="s">
        <v>612</v>
      </c>
      <c r="J263" s="148"/>
      <c r="K263" s="131">
        <v>7500</v>
      </c>
      <c r="L263" s="131"/>
      <c r="M263" s="131">
        <v>7500</v>
      </c>
      <c r="N263" s="149"/>
      <c r="O263" s="150"/>
      <c r="P263" s="150"/>
      <c r="Q263" s="151"/>
      <c r="R263" s="152"/>
      <c r="S263" s="131">
        <v>7500</v>
      </c>
      <c r="T263" s="131"/>
      <c r="U263" s="131"/>
      <c r="V263" s="153"/>
      <c r="W263" s="55"/>
      <c r="X263" s="55"/>
      <c r="Y263" s="55"/>
      <c r="Z263" s="55"/>
      <c r="AA263" s="154"/>
    </row>
    <row r="264" spans="1:27" s="120" customFormat="1" ht="40.200000000000003" customHeight="1">
      <c r="A264" s="70">
        <f>MAX(A$14:$A263)+1</f>
        <v>239</v>
      </c>
      <c r="B264" s="134" t="s">
        <v>1158</v>
      </c>
      <c r="C264" s="129" t="s">
        <v>632</v>
      </c>
      <c r="D264" s="78" t="s">
        <v>84</v>
      </c>
      <c r="E264" s="78"/>
      <c r="F264" s="130" t="s">
        <v>343</v>
      </c>
      <c r="G264" s="78" t="s">
        <v>1159</v>
      </c>
      <c r="H264" s="138"/>
      <c r="I264" s="78" t="s">
        <v>612</v>
      </c>
      <c r="J264" s="148"/>
      <c r="K264" s="131">
        <v>6500</v>
      </c>
      <c r="L264" s="131"/>
      <c r="M264" s="131">
        <v>6500</v>
      </c>
      <c r="N264" s="149"/>
      <c r="O264" s="150"/>
      <c r="P264" s="150"/>
      <c r="Q264" s="151"/>
      <c r="R264" s="152"/>
      <c r="S264" s="131">
        <v>6500</v>
      </c>
      <c r="T264" s="131"/>
      <c r="U264" s="131"/>
      <c r="V264" s="153"/>
      <c r="W264" s="55"/>
      <c r="X264" s="55"/>
      <c r="Y264" s="55"/>
      <c r="Z264" s="55"/>
      <c r="AA264" s="154"/>
    </row>
    <row r="265" spans="1:27" s="120" customFormat="1" ht="40.200000000000003" customHeight="1">
      <c r="A265" s="70">
        <f>MAX(A$14:$A264)+1</f>
        <v>240</v>
      </c>
      <c r="B265" s="134" t="s">
        <v>1160</v>
      </c>
      <c r="C265" s="129" t="s">
        <v>632</v>
      </c>
      <c r="D265" s="78" t="s">
        <v>84</v>
      </c>
      <c r="E265" s="78"/>
      <c r="F265" s="130" t="s">
        <v>342</v>
      </c>
      <c r="G265" s="78" t="s">
        <v>1157</v>
      </c>
      <c r="H265" s="138"/>
      <c r="I265" s="78" t="s">
        <v>612</v>
      </c>
      <c r="J265" s="148"/>
      <c r="K265" s="131">
        <v>6500</v>
      </c>
      <c r="L265" s="131"/>
      <c r="M265" s="131">
        <v>6500</v>
      </c>
      <c r="N265" s="149"/>
      <c r="O265" s="150"/>
      <c r="P265" s="150"/>
      <c r="Q265" s="151"/>
      <c r="R265" s="152"/>
      <c r="S265" s="131">
        <v>6500</v>
      </c>
      <c r="T265" s="131"/>
      <c r="U265" s="131"/>
      <c r="V265" s="153"/>
      <c r="W265" s="55"/>
      <c r="X265" s="55"/>
      <c r="Y265" s="55"/>
      <c r="Z265" s="55"/>
      <c r="AA265" s="154"/>
    </row>
    <row r="266" spans="1:27" s="120" customFormat="1" ht="40.200000000000003" customHeight="1">
      <c r="A266" s="70">
        <f>MAX(A$14:$A265)+1</f>
        <v>241</v>
      </c>
      <c r="B266" s="134" t="s">
        <v>1161</v>
      </c>
      <c r="C266" s="129" t="s">
        <v>632</v>
      </c>
      <c r="D266" s="78" t="s">
        <v>84</v>
      </c>
      <c r="E266" s="78"/>
      <c r="F266" s="130" t="s">
        <v>343</v>
      </c>
      <c r="G266" s="78" t="s">
        <v>1162</v>
      </c>
      <c r="H266" s="138"/>
      <c r="I266" s="78" t="s">
        <v>612</v>
      </c>
      <c r="J266" s="148"/>
      <c r="K266" s="131">
        <v>8100</v>
      </c>
      <c r="L266" s="131"/>
      <c r="M266" s="131">
        <v>8100</v>
      </c>
      <c r="N266" s="149"/>
      <c r="O266" s="150"/>
      <c r="P266" s="150"/>
      <c r="Q266" s="151"/>
      <c r="R266" s="152"/>
      <c r="S266" s="131">
        <v>8100</v>
      </c>
      <c r="T266" s="131"/>
      <c r="U266" s="131"/>
      <c r="V266" s="153"/>
      <c r="W266" s="55"/>
      <c r="X266" s="55"/>
      <c r="Y266" s="55"/>
      <c r="Z266" s="55"/>
      <c r="AA266" s="154"/>
    </row>
    <row r="267" spans="1:27" s="120" customFormat="1" ht="40.200000000000003" customHeight="1">
      <c r="A267" s="70">
        <f>MAX(A$14:$A266)+1</f>
        <v>242</v>
      </c>
      <c r="B267" s="134" t="s">
        <v>1163</v>
      </c>
      <c r="C267" s="129" t="s">
        <v>632</v>
      </c>
      <c r="D267" s="78" t="s">
        <v>84</v>
      </c>
      <c r="E267" s="78"/>
      <c r="F267" s="130" t="s">
        <v>343</v>
      </c>
      <c r="G267" s="78" t="s">
        <v>1164</v>
      </c>
      <c r="H267" s="138"/>
      <c r="I267" s="78" t="s">
        <v>612</v>
      </c>
      <c r="J267" s="148"/>
      <c r="K267" s="131">
        <v>10000</v>
      </c>
      <c r="L267" s="131"/>
      <c r="M267" s="131">
        <v>10000</v>
      </c>
      <c r="N267" s="149"/>
      <c r="O267" s="150"/>
      <c r="P267" s="150"/>
      <c r="Q267" s="151"/>
      <c r="R267" s="152"/>
      <c r="S267" s="131">
        <v>10000</v>
      </c>
      <c r="T267" s="131"/>
      <c r="U267" s="131"/>
      <c r="V267" s="153"/>
      <c r="W267" s="55"/>
      <c r="X267" s="55"/>
      <c r="Y267" s="55"/>
      <c r="Z267" s="55"/>
      <c r="AA267" s="154"/>
    </row>
    <row r="268" spans="1:27" s="120" customFormat="1" ht="40.200000000000003" customHeight="1">
      <c r="A268" s="70">
        <f>MAX(A$14:$A267)+1</f>
        <v>243</v>
      </c>
      <c r="B268" s="134" t="s">
        <v>1165</v>
      </c>
      <c r="C268" s="129" t="s">
        <v>632</v>
      </c>
      <c r="D268" s="78" t="s">
        <v>84</v>
      </c>
      <c r="E268" s="78"/>
      <c r="F268" s="130" t="s">
        <v>343</v>
      </c>
      <c r="G268" s="78" t="s">
        <v>1164</v>
      </c>
      <c r="H268" s="138" t="s">
        <v>1166</v>
      </c>
      <c r="I268" s="78" t="s">
        <v>612</v>
      </c>
      <c r="J268" s="148"/>
      <c r="K268" s="131">
        <v>8000</v>
      </c>
      <c r="L268" s="131"/>
      <c r="M268" s="131">
        <v>8000</v>
      </c>
      <c r="N268" s="149"/>
      <c r="O268" s="150"/>
      <c r="P268" s="150"/>
      <c r="Q268" s="151"/>
      <c r="R268" s="152"/>
      <c r="S268" s="131">
        <v>8000</v>
      </c>
      <c r="T268" s="131"/>
      <c r="U268" s="131"/>
      <c r="V268" s="153"/>
      <c r="W268" s="55"/>
      <c r="X268" s="55"/>
      <c r="Y268" s="55"/>
      <c r="Z268" s="55"/>
      <c r="AA268" s="154"/>
    </row>
    <row r="269" spans="1:27" s="120" customFormat="1" ht="40.200000000000003" customHeight="1">
      <c r="A269" s="70">
        <f>MAX(A$14:$A268)+1</f>
        <v>244</v>
      </c>
      <c r="B269" s="134" t="s">
        <v>1167</v>
      </c>
      <c r="C269" s="129" t="s">
        <v>632</v>
      </c>
      <c r="D269" s="78" t="s">
        <v>84</v>
      </c>
      <c r="E269" s="78"/>
      <c r="F269" s="130" t="s">
        <v>343</v>
      </c>
      <c r="G269" s="78" t="s">
        <v>1164</v>
      </c>
      <c r="H269" s="138"/>
      <c r="I269" s="78" t="s">
        <v>612</v>
      </c>
      <c r="J269" s="148"/>
      <c r="K269" s="131">
        <v>6000</v>
      </c>
      <c r="L269" s="131"/>
      <c r="M269" s="131">
        <v>6000</v>
      </c>
      <c r="N269" s="149"/>
      <c r="O269" s="150"/>
      <c r="P269" s="150"/>
      <c r="Q269" s="151"/>
      <c r="R269" s="152"/>
      <c r="S269" s="131">
        <v>8000</v>
      </c>
      <c r="T269" s="131"/>
      <c r="U269" s="131"/>
      <c r="V269" s="153"/>
      <c r="W269" s="55"/>
      <c r="X269" s="55"/>
      <c r="Y269" s="55"/>
      <c r="Z269" s="55"/>
      <c r="AA269" s="154"/>
    </row>
    <row r="270" spans="1:27" s="120" customFormat="1" ht="40.200000000000003" customHeight="1">
      <c r="A270" s="70">
        <f>MAX(A$14:$A269)+1</f>
        <v>245</v>
      </c>
      <c r="B270" s="134" t="s">
        <v>1168</v>
      </c>
      <c r="C270" s="129" t="s">
        <v>632</v>
      </c>
      <c r="D270" s="78" t="s">
        <v>84</v>
      </c>
      <c r="E270" s="78"/>
      <c r="F270" s="130" t="s">
        <v>344</v>
      </c>
      <c r="G270" s="78" t="s">
        <v>1164</v>
      </c>
      <c r="H270" s="138"/>
      <c r="I270" s="78" t="s">
        <v>612</v>
      </c>
      <c r="J270" s="148"/>
      <c r="K270" s="131">
        <v>6000</v>
      </c>
      <c r="L270" s="131"/>
      <c r="M270" s="131">
        <v>6000</v>
      </c>
      <c r="N270" s="149"/>
      <c r="O270" s="150"/>
      <c r="P270" s="150"/>
      <c r="Q270" s="151"/>
      <c r="R270" s="152"/>
      <c r="S270" s="131">
        <v>6000</v>
      </c>
      <c r="T270" s="131"/>
      <c r="U270" s="131"/>
      <c r="V270" s="153"/>
      <c r="W270" s="55"/>
      <c r="X270" s="55"/>
      <c r="Y270" s="55"/>
      <c r="Z270" s="55"/>
      <c r="AA270" s="154"/>
    </row>
    <row r="271" spans="1:27" s="120" customFormat="1" ht="40.200000000000003" customHeight="1">
      <c r="A271" s="70">
        <f>MAX(A$14:$A270)+1</f>
        <v>246</v>
      </c>
      <c r="B271" s="134" t="s">
        <v>1169</v>
      </c>
      <c r="C271" s="129" t="s">
        <v>632</v>
      </c>
      <c r="D271" s="78" t="s">
        <v>84</v>
      </c>
      <c r="E271" s="78"/>
      <c r="F271" s="130" t="s">
        <v>344</v>
      </c>
      <c r="G271" s="78" t="s">
        <v>1164</v>
      </c>
      <c r="H271" s="138"/>
      <c r="I271" s="78" t="s">
        <v>612</v>
      </c>
      <c r="J271" s="148"/>
      <c r="K271" s="131">
        <v>8000</v>
      </c>
      <c r="L271" s="131"/>
      <c r="M271" s="131">
        <v>8000</v>
      </c>
      <c r="N271" s="149"/>
      <c r="O271" s="150"/>
      <c r="P271" s="150"/>
      <c r="Q271" s="151"/>
      <c r="R271" s="152"/>
      <c r="S271" s="131">
        <v>8000</v>
      </c>
      <c r="T271" s="131"/>
      <c r="U271" s="131"/>
      <c r="V271" s="153"/>
      <c r="W271" s="55"/>
      <c r="X271" s="55"/>
      <c r="Y271" s="55"/>
      <c r="Z271" s="55"/>
      <c r="AA271" s="154"/>
    </row>
    <row r="272" spans="1:27" s="120" customFormat="1" ht="40.200000000000003" customHeight="1">
      <c r="A272" s="70">
        <f>MAX(A$14:$A271)+1</f>
        <v>247</v>
      </c>
      <c r="B272" s="134" t="s">
        <v>1170</v>
      </c>
      <c r="C272" s="129" t="s">
        <v>632</v>
      </c>
      <c r="D272" s="78" t="s">
        <v>84</v>
      </c>
      <c r="E272" s="78"/>
      <c r="F272" s="130" t="s">
        <v>344</v>
      </c>
      <c r="G272" s="78" t="s">
        <v>1164</v>
      </c>
      <c r="H272" s="138"/>
      <c r="I272" s="78" t="s">
        <v>612</v>
      </c>
      <c r="J272" s="148"/>
      <c r="K272" s="131">
        <v>6000</v>
      </c>
      <c r="L272" s="131"/>
      <c r="M272" s="131">
        <v>6000</v>
      </c>
      <c r="N272" s="149"/>
      <c r="O272" s="150"/>
      <c r="P272" s="150"/>
      <c r="Q272" s="151"/>
      <c r="R272" s="152"/>
      <c r="S272" s="131">
        <v>6000</v>
      </c>
      <c r="T272" s="131"/>
      <c r="U272" s="131"/>
      <c r="V272" s="153"/>
      <c r="W272" s="55"/>
      <c r="X272" s="55"/>
      <c r="Y272" s="55"/>
      <c r="Z272" s="55"/>
      <c r="AA272" s="154"/>
    </row>
    <row r="273" spans="1:27" s="120" customFormat="1" ht="40.200000000000003" customHeight="1">
      <c r="A273" s="70">
        <f>MAX(A$14:$A272)+1</f>
        <v>248</v>
      </c>
      <c r="B273" s="134" t="s">
        <v>1171</v>
      </c>
      <c r="C273" s="129" t="s">
        <v>632</v>
      </c>
      <c r="D273" s="78" t="s">
        <v>84</v>
      </c>
      <c r="E273" s="78"/>
      <c r="F273" s="130" t="s">
        <v>341</v>
      </c>
      <c r="G273" s="78" t="s">
        <v>1164</v>
      </c>
      <c r="H273" s="138"/>
      <c r="I273" s="78" t="s">
        <v>612</v>
      </c>
      <c r="J273" s="148"/>
      <c r="K273" s="131">
        <v>16000</v>
      </c>
      <c r="L273" s="131"/>
      <c r="M273" s="131">
        <v>16000</v>
      </c>
      <c r="N273" s="149"/>
      <c r="O273" s="150"/>
      <c r="P273" s="150"/>
      <c r="Q273" s="151"/>
      <c r="R273" s="152"/>
      <c r="S273" s="131">
        <v>16000</v>
      </c>
      <c r="T273" s="131"/>
      <c r="U273" s="131"/>
      <c r="V273" s="153"/>
      <c r="W273" s="55"/>
      <c r="X273" s="55"/>
      <c r="Y273" s="55"/>
      <c r="Z273" s="55"/>
      <c r="AA273" s="154"/>
    </row>
    <row r="274" spans="1:27" s="120" customFormat="1" ht="40.200000000000003" customHeight="1">
      <c r="A274" s="70">
        <f>MAX(A$14:$A273)+1</f>
        <v>249</v>
      </c>
      <c r="B274" s="134" t="s">
        <v>1172</v>
      </c>
      <c r="C274" s="129" t="s">
        <v>632</v>
      </c>
      <c r="D274" s="78" t="s">
        <v>84</v>
      </c>
      <c r="E274" s="78"/>
      <c r="F274" s="130" t="s">
        <v>341</v>
      </c>
      <c r="G274" s="78" t="s">
        <v>1164</v>
      </c>
      <c r="H274" s="138"/>
      <c r="I274" s="78" t="s">
        <v>612</v>
      </c>
      <c r="J274" s="148"/>
      <c r="K274" s="131">
        <v>10000</v>
      </c>
      <c r="L274" s="131"/>
      <c r="M274" s="131">
        <v>10000</v>
      </c>
      <c r="N274" s="149"/>
      <c r="O274" s="150"/>
      <c r="P274" s="150"/>
      <c r="Q274" s="151"/>
      <c r="R274" s="152"/>
      <c r="S274" s="131">
        <v>10000</v>
      </c>
      <c r="T274" s="131"/>
      <c r="U274" s="131"/>
      <c r="V274" s="153"/>
      <c r="W274" s="55"/>
      <c r="X274" s="55"/>
      <c r="Y274" s="55"/>
      <c r="Z274" s="55"/>
      <c r="AA274" s="154"/>
    </row>
    <row r="275" spans="1:27" s="120" customFormat="1" ht="40.200000000000003" customHeight="1">
      <c r="A275" s="70">
        <f>MAX(A$14:$A274)+1</f>
        <v>250</v>
      </c>
      <c r="B275" s="134" t="s">
        <v>1173</v>
      </c>
      <c r="C275" s="129" t="s">
        <v>632</v>
      </c>
      <c r="D275" s="78" t="s">
        <v>84</v>
      </c>
      <c r="E275" s="78"/>
      <c r="F275" s="130" t="s">
        <v>341</v>
      </c>
      <c r="G275" s="78" t="s">
        <v>1164</v>
      </c>
      <c r="H275" s="138"/>
      <c r="I275" s="78" t="s">
        <v>612</v>
      </c>
      <c r="J275" s="148"/>
      <c r="K275" s="131">
        <v>8000</v>
      </c>
      <c r="L275" s="131"/>
      <c r="M275" s="131">
        <v>8000</v>
      </c>
      <c r="N275" s="149"/>
      <c r="O275" s="150"/>
      <c r="P275" s="150"/>
      <c r="Q275" s="151"/>
      <c r="R275" s="152"/>
      <c r="S275" s="131">
        <v>8000</v>
      </c>
      <c r="T275" s="131"/>
      <c r="U275" s="131"/>
      <c r="V275" s="153"/>
      <c r="W275" s="55"/>
      <c r="X275" s="55"/>
      <c r="Y275" s="55"/>
      <c r="Z275" s="55"/>
      <c r="AA275" s="154"/>
    </row>
    <row r="276" spans="1:27" s="120" customFormat="1" ht="40.200000000000003" customHeight="1">
      <c r="A276" s="70">
        <f>MAX(A$14:$A275)+1</f>
        <v>251</v>
      </c>
      <c r="B276" s="134" t="s">
        <v>1174</v>
      </c>
      <c r="C276" s="129" t="s">
        <v>632</v>
      </c>
      <c r="D276" s="78" t="s">
        <v>84</v>
      </c>
      <c r="E276" s="78"/>
      <c r="F276" s="130" t="s">
        <v>342</v>
      </c>
      <c r="G276" s="78" t="s">
        <v>1164</v>
      </c>
      <c r="H276" s="138"/>
      <c r="I276" s="78" t="s">
        <v>612</v>
      </c>
      <c r="J276" s="148"/>
      <c r="K276" s="131">
        <v>14000</v>
      </c>
      <c r="L276" s="131"/>
      <c r="M276" s="131">
        <v>14000</v>
      </c>
      <c r="N276" s="149"/>
      <c r="O276" s="150"/>
      <c r="P276" s="150"/>
      <c r="Q276" s="151"/>
      <c r="R276" s="152"/>
      <c r="S276" s="131">
        <v>14000</v>
      </c>
      <c r="T276" s="131"/>
      <c r="U276" s="131"/>
      <c r="V276" s="153"/>
      <c r="W276" s="55"/>
      <c r="X276" s="55"/>
      <c r="Y276" s="55"/>
      <c r="Z276" s="55"/>
      <c r="AA276" s="154"/>
    </row>
    <row r="277" spans="1:27" s="120" customFormat="1" ht="40.200000000000003" customHeight="1">
      <c r="A277" s="70">
        <f>MAX(A$14:$A276)+1</f>
        <v>252</v>
      </c>
      <c r="B277" s="134" t="s">
        <v>1175</v>
      </c>
      <c r="C277" s="129" t="s">
        <v>632</v>
      </c>
      <c r="D277" s="78" t="s">
        <v>84</v>
      </c>
      <c r="E277" s="78"/>
      <c r="F277" s="130" t="s">
        <v>342</v>
      </c>
      <c r="G277" s="78" t="s">
        <v>1164</v>
      </c>
      <c r="H277" s="138"/>
      <c r="I277" s="78" t="s">
        <v>612</v>
      </c>
      <c r="J277" s="148"/>
      <c r="K277" s="131">
        <v>12000</v>
      </c>
      <c r="L277" s="131"/>
      <c r="M277" s="131">
        <v>12000</v>
      </c>
      <c r="N277" s="149"/>
      <c r="O277" s="150"/>
      <c r="P277" s="150"/>
      <c r="Q277" s="151"/>
      <c r="R277" s="152"/>
      <c r="S277" s="131">
        <v>12000</v>
      </c>
      <c r="T277" s="131"/>
      <c r="U277" s="131"/>
      <c r="V277" s="153"/>
      <c r="W277" s="55"/>
      <c r="X277" s="55"/>
      <c r="Y277" s="55"/>
      <c r="Z277" s="55"/>
      <c r="AA277" s="154"/>
    </row>
    <row r="278" spans="1:27" s="120" customFormat="1" ht="40.200000000000003" customHeight="1">
      <c r="A278" s="70">
        <f>MAX(A$14:$A277)+1</f>
        <v>253</v>
      </c>
      <c r="B278" s="134" t="s">
        <v>1176</v>
      </c>
      <c r="C278" s="129" t="s">
        <v>632</v>
      </c>
      <c r="D278" s="78" t="s">
        <v>84</v>
      </c>
      <c r="E278" s="78"/>
      <c r="F278" s="130" t="s">
        <v>342</v>
      </c>
      <c r="G278" s="78" t="s">
        <v>1164</v>
      </c>
      <c r="H278" s="138"/>
      <c r="I278" s="78" t="s">
        <v>612</v>
      </c>
      <c r="J278" s="148"/>
      <c r="K278" s="131">
        <v>6000</v>
      </c>
      <c r="L278" s="131"/>
      <c r="M278" s="131">
        <v>6000</v>
      </c>
      <c r="N278" s="149"/>
      <c r="O278" s="150"/>
      <c r="P278" s="150"/>
      <c r="Q278" s="151"/>
      <c r="R278" s="152"/>
      <c r="S278" s="131">
        <v>6000</v>
      </c>
      <c r="T278" s="131"/>
      <c r="U278" s="131"/>
      <c r="V278" s="153"/>
      <c r="W278" s="55"/>
      <c r="X278" s="55"/>
      <c r="Y278" s="55"/>
      <c r="Z278" s="55"/>
      <c r="AA278" s="154"/>
    </row>
    <row r="279" spans="1:27" s="120" customFormat="1" ht="40.200000000000003" customHeight="1">
      <c r="A279" s="70">
        <f>MAX(A$14:$A278)+1</f>
        <v>254</v>
      </c>
      <c r="B279" s="134" t="s">
        <v>1177</v>
      </c>
      <c r="C279" s="129" t="s">
        <v>632</v>
      </c>
      <c r="D279" s="78" t="s">
        <v>84</v>
      </c>
      <c r="E279" s="78" t="s">
        <v>84</v>
      </c>
      <c r="F279" s="130" t="s">
        <v>821</v>
      </c>
      <c r="G279" s="78"/>
      <c r="H279" s="138" t="s">
        <v>1178</v>
      </c>
      <c r="I279" s="78">
        <v>2026</v>
      </c>
      <c r="J279" s="148"/>
      <c r="K279" s="131">
        <v>17000</v>
      </c>
      <c r="L279" s="131"/>
      <c r="M279" s="131">
        <v>17000</v>
      </c>
      <c r="N279" s="149"/>
      <c r="O279" s="150"/>
      <c r="P279" s="150"/>
      <c r="Q279" s="151"/>
      <c r="R279" s="152"/>
      <c r="S279" s="131">
        <v>17000</v>
      </c>
      <c r="T279" s="131">
        <v>17000</v>
      </c>
      <c r="U279" s="131"/>
      <c r="V279" s="153"/>
      <c r="W279" s="55"/>
      <c r="X279" s="55"/>
      <c r="Y279" s="55"/>
      <c r="Z279" s="55"/>
      <c r="AA279" s="154"/>
    </row>
    <row r="280" spans="1:27" s="120" customFormat="1" ht="40.200000000000003" customHeight="1">
      <c r="A280" s="70">
        <f>MAX(A$14:$A279)+1</f>
        <v>255</v>
      </c>
      <c r="B280" s="134" t="s">
        <v>1179</v>
      </c>
      <c r="C280" s="129" t="s">
        <v>632</v>
      </c>
      <c r="D280" s="78" t="s">
        <v>84</v>
      </c>
      <c r="E280" s="78" t="s">
        <v>84</v>
      </c>
      <c r="F280" s="130" t="s">
        <v>1180</v>
      </c>
      <c r="G280" s="78"/>
      <c r="H280" s="138" t="s">
        <v>1181</v>
      </c>
      <c r="I280" s="78">
        <v>2026</v>
      </c>
      <c r="J280" s="148"/>
      <c r="K280" s="131">
        <v>12500</v>
      </c>
      <c r="L280" s="131"/>
      <c r="M280" s="131">
        <v>12500</v>
      </c>
      <c r="N280" s="149"/>
      <c r="O280" s="150"/>
      <c r="P280" s="150"/>
      <c r="Q280" s="151"/>
      <c r="R280" s="152"/>
      <c r="S280" s="131">
        <v>12500</v>
      </c>
      <c r="T280" s="131">
        <v>12500</v>
      </c>
      <c r="U280" s="131"/>
      <c r="V280" s="153"/>
      <c r="W280" s="55"/>
      <c r="X280" s="55"/>
      <c r="Y280" s="55"/>
      <c r="Z280" s="55"/>
      <c r="AA280" s="154"/>
    </row>
    <row r="281" spans="1:27" s="120" customFormat="1" ht="40.200000000000003" customHeight="1">
      <c r="A281" s="70">
        <f>MAX(A$14:$A280)+1</f>
        <v>256</v>
      </c>
      <c r="B281" s="134" t="s">
        <v>1182</v>
      </c>
      <c r="C281" s="129" t="s">
        <v>632</v>
      </c>
      <c r="D281" s="78" t="s">
        <v>84</v>
      </c>
      <c r="E281" s="78" t="s">
        <v>84</v>
      </c>
      <c r="F281" s="130" t="s">
        <v>821</v>
      </c>
      <c r="G281" s="78"/>
      <c r="H281" s="138" t="s">
        <v>1181</v>
      </c>
      <c r="I281" s="78">
        <v>2026</v>
      </c>
      <c r="J281" s="148"/>
      <c r="K281" s="131">
        <v>17000</v>
      </c>
      <c r="L281" s="131"/>
      <c r="M281" s="131">
        <v>17000</v>
      </c>
      <c r="N281" s="149"/>
      <c r="O281" s="150"/>
      <c r="P281" s="150"/>
      <c r="Q281" s="151"/>
      <c r="R281" s="152"/>
      <c r="S281" s="131">
        <v>17000</v>
      </c>
      <c r="T281" s="131">
        <v>17000</v>
      </c>
      <c r="U281" s="131"/>
      <c r="V281" s="153"/>
      <c r="W281" s="55"/>
      <c r="X281" s="55"/>
      <c r="Y281" s="55"/>
      <c r="Z281" s="55"/>
      <c r="AA281" s="154"/>
    </row>
    <row r="282" spans="1:27" s="120" customFormat="1" ht="40.200000000000003" customHeight="1">
      <c r="A282" s="70">
        <f>MAX(A$14:$A281)+1</f>
        <v>257</v>
      </c>
      <c r="B282" s="134" t="s">
        <v>1183</v>
      </c>
      <c r="C282" s="129" t="s">
        <v>632</v>
      </c>
      <c r="D282" s="78" t="s">
        <v>84</v>
      </c>
      <c r="E282" s="78" t="s">
        <v>84</v>
      </c>
      <c r="F282" s="130" t="s">
        <v>1180</v>
      </c>
      <c r="G282" s="78"/>
      <c r="H282" s="138" t="s">
        <v>1181</v>
      </c>
      <c r="I282" s="78">
        <v>2026</v>
      </c>
      <c r="J282" s="148"/>
      <c r="K282" s="131">
        <v>12300</v>
      </c>
      <c r="L282" s="131"/>
      <c r="M282" s="131">
        <v>12300</v>
      </c>
      <c r="N282" s="149"/>
      <c r="O282" s="150"/>
      <c r="P282" s="150"/>
      <c r="Q282" s="151"/>
      <c r="R282" s="152"/>
      <c r="S282" s="131">
        <v>12300</v>
      </c>
      <c r="T282" s="131">
        <v>12300</v>
      </c>
      <c r="U282" s="131"/>
      <c r="V282" s="153"/>
      <c r="W282" s="55"/>
      <c r="X282" s="55"/>
      <c r="Y282" s="55"/>
      <c r="Z282" s="55"/>
      <c r="AA282" s="154"/>
    </row>
    <row r="283" spans="1:27" s="120" customFormat="1" ht="40.200000000000003" customHeight="1">
      <c r="A283" s="70">
        <f>MAX(A$14:$A282)+1</f>
        <v>258</v>
      </c>
      <c r="B283" s="134" t="s">
        <v>1184</v>
      </c>
      <c r="C283" s="129" t="s">
        <v>632</v>
      </c>
      <c r="D283" s="78" t="s">
        <v>84</v>
      </c>
      <c r="E283" s="78" t="s">
        <v>84</v>
      </c>
      <c r="F283" s="130" t="s">
        <v>330</v>
      </c>
      <c r="G283" s="78"/>
      <c r="H283" s="138" t="s">
        <v>1181</v>
      </c>
      <c r="I283" s="78">
        <v>2026</v>
      </c>
      <c r="J283" s="148"/>
      <c r="K283" s="131">
        <v>2960</v>
      </c>
      <c r="L283" s="131"/>
      <c r="M283" s="131">
        <v>2960</v>
      </c>
      <c r="N283" s="149"/>
      <c r="O283" s="150"/>
      <c r="P283" s="150"/>
      <c r="Q283" s="151"/>
      <c r="R283" s="152"/>
      <c r="S283" s="131">
        <v>2960</v>
      </c>
      <c r="T283" s="131">
        <v>2960</v>
      </c>
      <c r="U283" s="131"/>
      <c r="V283" s="153"/>
      <c r="W283" s="55"/>
      <c r="X283" s="55"/>
      <c r="Y283" s="55"/>
      <c r="Z283" s="55"/>
      <c r="AA283" s="154"/>
    </row>
    <row r="284" spans="1:27" s="120" customFormat="1" ht="40.200000000000003" customHeight="1">
      <c r="A284" s="70">
        <f>MAX(A$14:$A283)+1</f>
        <v>259</v>
      </c>
      <c r="B284" s="134" t="s">
        <v>1185</v>
      </c>
      <c r="C284" s="129" t="s">
        <v>632</v>
      </c>
      <c r="D284" s="78" t="s">
        <v>84</v>
      </c>
      <c r="E284" s="78" t="s">
        <v>84</v>
      </c>
      <c r="F284" s="130" t="s">
        <v>1180</v>
      </c>
      <c r="G284" s="78"/>
      <c r="H284" s="138" t="s">
        <v>1181</v>
      </c>
      <c r="I284" s="78" t="s">
        <v>547</v>
      </c>
      <c r="J284" s="148"/>
      <c r="K284" s="131">
        <v>3800</v>
      </c>
      <c r="L284" s="131"/>
      <c r="M284" s="131">
        <v>3800</v>
      </c>
      <c r="N284" s="149"/>
      <c r="O284" s="150"/>
      <c r="P284" s="150"/>
      <c r="Q284" s="151"/>
      <c r="R284" s="152"/>
      <c r="S284" s="131">
        <v>3800</v>
      </c>
      <c r="T284" s="131"/>
      <c r="U284" s="131"/>
      <c r="V284" s="153"/>
      <c r="W284" s="55"/>
      <c r="X284" s="55"/>
      <c r="Y284" s="55"/>
      <c r="Z284" s="55"/>
      <c r="AA284" s="154"/>
    </row>
    <row r="285" spans="1:27" s="120" customFormat="1" ht="40.200000000000003" customHeight="1">
      <c r="A285" s="70">
        <f>MAX(A$14:$A284)+1</f>
        <v>260</v>
      </c>
      <c r="B285" s="134" t="s">
        <v>1186</v>
      </c>
      <c r="C285" s="129" t="s">
        <v>632</v>
      </c>
      <c r="D285" s="78" t="s">
        <v>84</v>
      </c>
      <c r="E285" s="78" t="s">
        <v>84</v>
      </c>
      <c r="F285" s="130" t="s">
        <v>821</v>
      </c>
      <c r="G285" s="78"/>
      <c r="H285" s="138" t="s">
        <v>1181</v>
      </c>
      <c r="I285" s="78" t="s">
        <v>547</v>
      </c>
      <c r="J285" s="148"/>
      <c r="K285" s="131">
        <v>2500</v>
      </c>
      <c r="L285" s="131"/>
      <c r="M285" s="131">
        <v>2500</v>
      </c>
      <c r="N285" s="149"/>
      <c r="O285" s="150"/>
      <c r="P285" s="150"/>
      <c r="Q285" s="151"/>
      <c r="R285" s="152"/>
      <c r="S285" s="131">
        <v>2500</v>
      </c>
      <c r="T285" s="131"/>
      <c r="U285" s="131"/>
      <c r="V285" s="153"/>
      <c r="W285" s="55"/>
      <c r="X285" s="55"/>
      <c r="Y285" s="55"/>
      <c r="Z285" s="55"/>
      <c r="AA285" s="154"/>
    </row>
    <row r="286" spans="1:27" s="120" customFormat="1" ht="40.200000000000003" customHeight="1">
      <c r="A286" s="70">
        <f>MAX(A$14:$A285)+1</f>
        <v>261</v>
      </c>
      <c r="B286" s="134" t="s">
        <v>1187</v>
      </c>
      <c r="C286" s="129" t="s">
        <v>632</v>
      </c>
      <c r="D286" s="78" t="s">
        <v>84</v>
      </c>
      <c r="E286" s="78" t="s">
        <v>84</v>
      </c>
      <c r="F286" s="130" t="s">
        <v>821</v>
      </c>
      <c r="G286" s="78"/>
      <c r="H286" s="138" t="s">
        <v>1181</v>
      </c>
      <c r="I286" s="78" t="s">
        <v>547</v>
      </c>
      <c r="J286" s="148"/>
      <c r="K286" s="131">
        <v>3900</v>
      </c>
      <c r="L286" s="131"/>
      <c r="M286" s="131">
        <v>3900</v>
      </c>
      <c r="N286" s="149"/>
      <c r="O286" s="150"/>
      <c r="P286" s="150"/>
      <c r="Q286" s="151"/>
      <c r="R286" s="152"/>
      <c r="S286" s="131">
        <v>3900</v>
      </c>
      <c r="T286" s="131"/>
      <c r="U286" s="131"/>
      <c r="V286" s="153"/>
      <c r="W286" s="55"/>
      <c r="X286" s="55"/>
      <c r="Y286" s="55"/>
      <c r="Z286" s="55"/>
      <c r="AA286" s="154"/>
    </row>
    <row r="287" spans="1:27" s="120" customFormat="1" ht="40.200000000000003" customHeight="1">
      <c r="A287" s="70">
        <f>MAX(A$14:$A286)+1</f>
        <v>262</v>
      </c>
      <c r="B287" s="134" t="s">
        <v>1188</v>
      </c>
      <c r="C287" s="129" t="s">
        <v>632</v>
      </c>
      <c r="D287" s="78" t="s">
        <v>84</v>
      </c>
      <c r="E287" s="78" t="s">
        <v>84</v>
      </c>
      <c r="F287" s="130" t="s">
        <v>1180</v>
      </c>
      <c r="G287" s="78"/>
      <c r="H287" s="138" t="s">
        <v>1181</v>
      </c>
      <c r="I287" s="78" t="s">
        <v>547</v>
      </c>
      <c r="J287" s="148"/>
      <c r="K287" s="131">
        <v>4200</v>
      </c>
      <c r="L287" s="131"/>
      <c r="M287" s="131">
        <v>4200</v>
      </c>
      <c r="N287" s="149"/>
      <c r="O287" s="150"/>
      <c r="P287" s="150"/>
      <c r="Q287" s="151"/>
      <c r="R287" s="152"/>
      <c r="S287" s="131">
        <v>4200</v>
      </c>
      <c r="T287" s="131"/>
      <c r="U287" s="131"/>
      <c r="V287" s="153"/>
      <c r="W287" s="55"/>
      <c r="X287" s="55"/>
      <c r="Y287" s="55"/>
      <c r="Z287" s="55"/>
      <c r="AA287" s="154"/>
    </row>
    <row r="288" spans="1:27" s="120" customFormat="1" ht="40.200000000000003" customHeight="1">
      <c r="A288" s="70">
        <f>MAX(A$14:$A287)+1</f>
        <v>263</v>
      </c>
      <c r="B288" s="134" t="s">
        <v>1189</v>
      </c>
      <c r="C288" s="129" t="s">
        <v>632</v>
      </c>
      <c r="D288" s="78" t="s">
        <v>84</v>
      </c>
      <c r="E288" s="78" t="s">
        <v>84</v>
      </c>
      <c r="F288" s="130" t="s">
        <v>1190</v>
      </c>
      <c r="G288" s="78"/>
      <c r="H288" s="138" t="s">
        <v>1181</v>
      </c>
      <c r="I288" s="78" t="s">
        <v>547</v>
      </c>
      <c r="J288" s="148"/>
      <c r="K288" s="131">
        <v>3900</v>
      </c>
      <c r="L288" s="131"/>
      <c r="M288" s="131">
        <v>3900</v>
      </c>
      <c r="N288" s="149"/>
      <c r="O288" s="150"/>
      <c r="P288" s="150"/>
      <c r="Q288" s="151"/>
      <c r="R288" s="152"/>
      <c r="S288" s="131">
        <v>3900</v>
      </c>
      <c r="T288" s="131"/>
      <c r="U288" s="131"/>
      <c r="V288" s="153"/>
      <c r="W288" s="55"/>
      <c r="X288" s="55"/>
      <c r="Y288" s="55"/>
      <c r="Z288" s="55"/>
      <c r="AA288" s="154"/>
    </row>
    <row r="289" spans="1:27" s="120" customFormat="1" ht="40.200000000000003" customHeight="1">
      <c r="A289" s="70">
        <f>MAX(A$14:$A288)+1</f>
        <v>264</v>
      </c>
      <c r="B289" s="134" t="s">
        <v>1191</v>
      </c>
      <c r="C289" s="129" t="s">
        <v>632</v>
      </c>
      <c r="D289" s="78" t="s">
        <v>84</v>
      </c>
      <c r="E289" s="78" t="s">
        <v>84</v>
      </c>
      <c r="F289" s="130" t="s">
        <v>821</v>
      </c>
      <c r="G289" s="78"/>
      <c r="H289" s="138" t="s">
        <v>1181</v>
      </c>
      <c r="I289" s="78" t="s">
        <v>547</v>
      </c>
      <c r="J289" s="148"/>
      <c r="K289" s="131">
        <v>4200</v>
      </c>
      <c r="L289" s="131"/>
      <c r="M289" s="131">
        <v>4200</v>
      </c>
      <c r="N289" s="149"/>
      <c r="O289" s="150"/>
      <c r="P289" s="150"/>
      <c r="Q289" s="151"/>
      <c r="R289" s="152"/>
      <c r="S289" s="131">
        <v>4200</v>
      </c>
      <c r="T289" s="131"/>
      <c r="U289" s="131"/>
      <c r="V289" s="153"/>
      <c r="W289" s="55"/>
      <c r="X289" s="55"/>
      <c r="Y289" s="55"/>
      <c r="Z289" s="55"/>
      <c r="AA289" s="154"/>
    </row>
    <row r="290" spans="1:27" s="120" customFormat="1" ht="40.200000000000003" customHeight="1">
      <c r="A290" s="70">
        <f>MAX(A$14:$A289)+1</f>
        <v>265</v>
      </c>
      <c r="B290" s="134" t="s">
        <v>1192</v>
      </c>
      <c r="C290" s="129" t="s">
        <v>632</v>
      </c>
      <c r="D290" s="78" t="s">
        <v>84</v>
      </c>
      <c r="E290" s="78" t="s">
        <v>84</v>
      </c>
      <c r="F290" s="130" t="s">
        <v>821</v>
      </c>
      <c r="G290" s="78"/>
      <c r="H290" s="138" t="s">
        <v>1181</v>
      </c>
      <c r="I290" s="78" t="s">
        <v>547</v>
      </c>
      <c r="J290" s="148"/>
      <c r="K290" s="131">
        <v>17900</v>
      </c>
      <c r="L290" s="131"/>
      <c r="M290" s="131">
        <v>17900</v>
      </c>
      <c r="N290" s="149"/>
      <c r="O290" s="150"/>
      <c r="P290" s="150"/>
      <c r="Q290" s="151"/>
      <c r="R290" s="152"/>
      <c r="S290" s="131">
        <v>17900</v>
      </c>
      <c r="T290" s="131"/>
      <c r="U290" s="131"/>
      <c r="V290" s="153"/>
      <c r="W290" s="55"/>
      <c r="X290" s="55"/>
      <c r="Y290" s="55"/>
      <c r="Z290" s="55"/>
      <c r="AA290" s="154"/>
    </row>
    <row r="291" spans="1:27" s="120" customFormat="1" ht="40.200000000000003" customHeight="1">
      <c r="A291" s="70">
        <f>MAX(A$14:$A290)+1</f>
        <v>266</v>
      </c>
      <c r="B291" s="134" t="s">
        <v>1193</v>
      </c>
      <c r="C291" s="129" t="s">
        <v>632</v>
      </c>
      <c r="D291" s="78" t="s">
        <v>84</v>
      </c>
      <c r="E291" s="78" t="s">
        <v>84</v>
      </c>
      <c r="F291" s="130" t="s">
        <v>821</v>
      </c>
      <c r="G291" s="78"/>
      <c r="H291" s="138" t="s">
        <v>1181</v>
      </c>
      <c r="I291" s="78" t="s">
        <v>547</v>
      </c>
      <c r="J291" s="148"/>
      <c r="K291" s="131">
        <v>50000</v>
      </c>
      <c r="L291" s="131"/>
      <c r="M291" s="131">
        <v>50000</v>
      </c>
      <c r="N291" s="149"/>
      <c r="O291" s="150"/>
      <c r="P291" s="150"/>
      <c r="Q291" s="151"/>
      <c r="R291" s="152"/>
      <c r="S291" s="131">
        <v>50000</v>
      </c>
      <c r="T291" s="131"/>
      <c r="U291" s="131"/>
      <c r="V291" s="153"/>
      <c r="W291" s="55"/>
      <c r="X291" s="55"/>
      <c r="Y291" s="55"/>
      <c r="Z291" s="55"/>
      <c r="AA291" s="154"/>
    </row>
    <row r="292" spans="1:27" s="120" customFormat="1" ht="40.200000000000003" customHeight="1">
      <c r="A292" s="70">
        <f>MAX(A$14:$A291)+1</f>
        <v>267</v>
      </c>
      <c r="B292" s="134" t="s">
        <v>1194</v>
      </c>
      <c r="C292" s="129" t="s">
        <v>632</v>
      </c>
      <c r="D292" s="78" t="s">
        <v>84</v>
      </c>
      <c r="E292" s="78" t="s">
        <v>84</v>
      </c>
      <c r="F292" s="130" t="s">
        <v>821</v>
      </c>
      <c r="G292" s="78"/>
      <c r="H292" s="138" t="s">
        <v>1181</v>
      </c>
      <c r="I292" s="78" t="s">
        <v>547</v>
      </c>
      <c r="J292" s="148"/>
      <c r="K292" s="131">
        <v>4200</v>
      </c>
      <c r="L292" s="131"/>
      <c r="M292" s="131">
        <v>4200</v>
      </c>
      <c r="N292" s="149"/>
      <c r="O292" s="150"/>
      <c r="P292" s="150"/>
      <c r="Q292" s="151"/>
      <c r="R292" s="152"/>
      <c r="S292" s="131">
        <v>4200</v>
      </c>
      <c r="T292" s="131"/>
      <c r="U292" s="131"/>
      <c r="V292" s="153"/>
      <c r="W292" s="55"/>
      <c r="X292" s="55"/>
      <c r="Y292" s="55"/>
      <c r="Z292" s="55"/>
      <c r="AA292" s="154"/>
    </row>
    <row r="293" spans="1:27" s="120" customFormat="1" ht="40.200000000000003" customHeight="1">
      <c r="A293" s="70">
        <f>MAX(A$14:$A292)+1</f>
        <v>268</v>
      </c>
      <c r="B293" s="134" t="s">
        <v>1195</v>
      </c>
      <c r="C293" s="129" t="s">
        <v>632</v>
      </c>
      <c r="D293" s="78" t="s">
        <v>84</v>
      </c>
      <c r="E293" s="78" t="s">
        <v>84</v>
      </c>
      <c r="F293" s="130" t="s">
        <v>1180</v>
      </c>
      <c r="G293" s="78"/>
      <c r="H293" s="138" t="s">
        <v>1181</v>
      </c>
      <c r="I293" s="78" t="s">
        <v>547</v>
      </c>
      <c r="J293" s="148"/>
      <c r="K293" s="131">
        <v>8800</v>
      </c>
      <c r="L293" s="131"/>
      <c r="M293" s="131">
        <v>8800</v>
      </c>
      <c r="N293" s="149"/>
      <c r="O293" s="150"/>
      <c r="P293" s="150"/>
      <c r="Q293" s="151"/>
      <c r="R293" s="152"/>
      <c r="S293" s="131">
        <v>8800</v>
      </c>
      <c r="T293" s="131"/>
      <c r="U293" s="131"/>
      <c r="V293" s="153"/>
      <c r="W293" s="55"/>
      <c r="X293" s="55"/>
      <c r="Y293" s="55"/>
      <c r="Z293" s="55"/>
      <c r="AA293" s="154"/>
    </row>
    <row r="294" spans="1:27" s="120" customFormat="1" ht="40.200000000000003" customHeight="1">
      <c r="A294" s="70">
        <f>MAX(A$14:$A293)+1</f>
        <v>269</v>
      </c>
      <c r="B294" s="134" t="s">
        <v>1196</v>
      </c>
      <c r="C294" s="129" t="s">
        <v>632</v>
      </c>
      <c r="D294" s="78" t="s">
        <v>84</v>
      </c>
      <c r="E294" s="78" t="s">
        <v>84</v>
      </c>
      <c r="F294" s="130" t="s">
        <v>839</v>
      </c>
      <c r="G294" s="78"/>
      <c r="H294" s="138" t="s">
        <v>1181</v>
      </c>
      <c r="I294" s="78" t="s">
        <v>547</v>
      </c>
      <c r="J294" s="148"/>
      <c r="K294" s="131">
        <v>11300</v>
      </c>
      <c r="L294" s="131"/>
      <c r="M294" s="131">
        <v>11300</v>
      </c>
      <c r="N294" s="149"/>
      <c r="O294" s="150"/>
      <c r="P294" s="150"/>
      <c r="Q294" s="151"/>
      <c r="R294" s="152"/>
      <c r="S294" s="131">
        <v>11300</v>
      </c>
      <c r="T294" s="131"/>
      <c r="U294" s="131"/>
      <c r="V294" s="153"/>
      <c r="W294" s="55"/>
      <c r="X294" s="55"/>
      <c r="Y294" s="55"/>
      <c r="Z294" s="55"/>
      <c r="AA294" s="154"/>
    </row>
    <row r="295" spans="1:27" s="120" customFormat="1" ht="40.200000000000003" customHeight="1">
      <c r="A295" s="70">
        <f>MAX(A$14:$A294)+1</f>
        <v>270</v>
      </c>
      <c r="B295" s="134" t="s">
        <v>1197</v>
      </c>
      <c r="C295" s="129" t="s">
        <v>632</v>
      </c>
      <c r="D295" s="78" t="s">
        <v>84</v>
      </c>
      <c r="E295" s="78" t="s">
        <v>84</v>
      </c>
      <c r="F295" s="130" t="s">
        <v>330</v>
      </c>
      <c r="G295" s="78"/>
      <c r="H295" s="138" t="s">
        <v>1181</v>
      </c>
      <c r="I295" s="78" t="s">
        <v>547</v>
      </c>
      <c r="J295" s="148"/>
      <c r="K295" s="131">
        <v>7700</v>
      </c>
      <c r="L295" s="131"/>
      <c r="M295" s="131">
        <v>7700</v>
      </c>
      <c r="N295" s="149"/>
      <c r="O295" s="150"/>
      <c r="P295" s="150"/>
      <c r="Q295" s="151"/>
      <c r="R295" s="152"/>
      <c r="S295" s="131">
        <v>7700</v>
      </c>
      <c r="T295" s="131"/>
      <c r="U295" s="131"/>
      <c r="V295" s="153"/>
      <c r="W295" s="55"/>
      <c r="X295" s="55"/>
      <c r="Y295" s="55"/>
      <c r="Z295" s="55"/>
      <c r="AA295" s="154"/>
    </row>
    <row r="296" spans="1:27" s="120" customFormat="1" ht="40.200000000000003" customHeight="1">
      <c r="A296" s="70">
        <f>MAX(A$14:$A295)+1</f>
        <v>271</v>
      </c>
      <c r="B296" s="134" t="s">
        <v>1198</v>
      </c>
      <c r="C296" s="129" t="s">
        <v>632</v>
      </c>
      <c r="D296" s="78" t="s">
        <v>84</v>
      </c>
      <c r="E296" s="78" t="s">
        <v>84</v>
      </c>
      <c r="F296" s="130" t="s">
        <v>1190</v>
      </c>
      <c r="G296" s="78"/>
      <c r="H296" s="138" t="s">
        <v>1181</v>
      </c>
      <c r="I296" s="78" t="s">
        <v>547</v>
      </c>
      <c r="J296" s="148"/>
      <c r="K296" s="131">
        <v>3700</v>
      </c>
      <c r="L296" s="131"/>
      <c r="M296" s="131">
        <v>3700</v>
      </c>
      <c r="N296" s="149"/>
      <c r="O296" s="150"/>
      <c r="P296" s="150"/>
      <c r="Q296" s="151"/>
      <c r="R296" s="152"/>
      <c r="S296" s="131">
        <v>3700</v>
      </c>
      <c r="T296" s="131"/>
      <c r="U296" s="131"/>
      <c r="V296" s="153"/>
      <c r="W296" s="55"/>
      <c r="X296" s="55"/>
      <c r="Y296" s="55"/>
      <c r="Z296" s="55"/>
      <c r="AA296" s="154"/>
    </row>
    <row r="297" spans="1:27" s="120" customFormat="1" ht="40.200000000000003" customHeight="1">
      <c r="A297" s="70">
        <f>MAX(A$14:$A296)+1</f>
        <v>272</v>
      </c>
      <c r="B297" s="134" t="s">
        <v>1199</v>
      </c>
      <c r="C297" s="129" t="s">
        <v>632</v>
      </c>
      <c r="D297" s="78" t="s">
        <v>84</v>
      </c>
      <c r="E297" s="78" t="s">
        <v>84</v>
      </c>
      <c r="F297" s="130" t="s">
        <v>839</v>
      </c>
      <c r="G297" s="78"/>
      <c r="H297" s="138" t="s">
        <v>1181</v>
      </c>
      <c r="I297" s="78" t="s">
        <v>547</v>
      </c>
      <c r="J297" s="148"/>
      <c r="K297" s="131">
        <v>3600</v>
      </c>
      <c r="L297" s="131"/>
      <c r="M297" s="131">
        <v>3600</v>
      </c>
      <c r="N297" s="149"/>
      <c r="O297" s="150"/>
      <c r="P297" s="150"/>
      <c r="Q297" s="151"/>
      <c r="R297" s="152"/>
      <c r="S297" s="131">
        <v>3600</v>
      </c>
      <c r="T297" s="131"/>
      <c r="U297" s="131"/>
      <c r="V297" s="153"/>
      <c r="W297" s="55"/>
      <c r="X297" s="55"/>
      <c r="Y297" s="55"/>
      <c r="Z297" s="55"/>
      <c r="AA297" s="154"/>
    </row>
    <row r="298" spans="1:27" s="120" customFormat="1" ht="40.200000000000003" customHeight="1">
      <c r="A298" s="70">
        <f>MAX(A$14:$A297)+1</f>
        <v>273</v>
      </c>
      <c r="B298" s="134" t="s">
        <v>1200</v>
      </c>
      <c r="C298" s="129" t="s">
        <v>632</v>
      </c>
      <c r="D298" s="78" t="s">
        <v>84</v>
      </c>
      <c r="E298" s="78" t="s">
        <v>84</v>
      </c>
      <c r="F298" s="130" t="s">
        <v>1180</v>
      </c>
      <c r="G298" s="78"/>
      <c r="H298" s="138" t="s">
        <v>1181</v>
      </c>
      <c r="I298" s="78" t="s">
        <v>547</v>
      </c>
      <c r="J298" s="148"/>
      <c r="K298" s="131">
        <v>3800</v>
      </c>
      <c r="L298" s="131"/>
      <c r="M298" s="131">
        <v>3800</v>
      </c>
      <c r="N298" s="149"/>
      <c r="O298" s="150"/>
      <c r="P298" s="150"/>
      <c r="Q298" s="151"/>
      <c r="R298" s="152"/>
      <c r="S298" s="131">
        <v>3800</v>
      </c>
      <c r="T298" s="131"/>
      <c r="U298" s="131"/>
      <c r="V298" s="153"/>
      <c r="W298" s="55"/>
      <c r="X298" s="55"/>
      <c r="Y298" s="55"/>
      <c r="Z298" s="55"/>
      <c r="AA298" s="154"/>
    </row>
    <row r="299" spans="1:27" s="120" customFormat="1" ht="40.200000000000003" customHeight="1">
      <c r="A299" s="70">
        <f>MAX(A$14:$A298)+1</f>
        <v>274</v>
      </c>
      <c r="B299" s="134" t="s">
        <v>1201</v>
      </c>
      <c r="C299" s="129" t="s">
        <v>632</v>
      </c>
      <c r="D299" s="78" t="s">
        <v>84</v>
      </c>
      <c r="E299" s="78" t="s">
        <v>84</v>
      </c>
      <c r="F299" s="130" t="s">
        <v>821</v>
      </c>
      <c r="G299" s="78"/>
      <c r="H299" s="138" t="s">
        <v>1181</v>
      </c>
      <c r="I299" s="78" t="s">
        <v>547</v>
      </c>
      <c r="J299" s="148"/>
      <c r="K299" s="131">
        <v>2200</v>
      </c>
      <c r="L299" s="131"/>
      <c r="M299" s="131">
        <v>2200</v>
      </c>
      <c r="N299" s="149"/>
      <c r="O299" s="150"/>
      <c r="P299" s="150"/>
      <c r="Q299" s="151"/>
      <c r="R299" s="152"/>
      <c r="S299" s="131">
        <v>2200</v>
      </c>
      <c r="T299" s="131"/>
      <c r="U299" s="131"/>
      <c r="V299" s="153"/>
      <c r="W299" s="55"/>
      <c r="X299" s="55"/>
      <c r="Y299" s="55"/>
      <c r="Z299" s="55"/>
      <c r="AA299" s="154"/>
    </row>
    <row r="300" spans="1:27" s="120" customFormat="1" ht="40.200000000000003" customHeight="1">
      <c r="A300" s="70">
        <f>MAX(A$14:$A299)+1</f>
        <v>275</v>
      </c>
      <c r="B300" s="162" t="s">
        <v>1202</v>
      </c>
      <c r="C300" s="129" t="s">
        <v>632</v>
      </c>
      <c r="D300" s="78" t="s">
        <v>84</v>
      </c>
      <c r="E300" s="78" t="s">
        <v>84</v>
      </c>
      <c r="F300" s="130" t="s">
        <v>1180</v>
      </c>
      <c r="G300" s="78"/>
      <c r="H300" s="138" t="s">
        <v>1181</v>
      </c>
      <c r="I300" s="78" t="s">
        <v>547</v>
      </c>
      <c r="J300" s="148"/>
      <c r="K300" s="131">
        <v>2200</v>
      </c>
      <c r="L300" s="131"/>
      <c r="M300" s="131">
        <v>2200</v>
      </c>
      <c r="N300" s="149"/>
      <c r="O300" s="150"/>
      <c r="P300" s="150"/>
      <c r="Q300" s="151"/>
      <c r="R300" s="152"/>
      <c r="S300" s="131">
        <v>2200</v>
      </c>
      <c r="T300" s="131"/>
      <c r="U300" s="131"/>
      <c r="V300" s="153"/>
      <c r="W300" s="55"/>
      <c r="X300" s="55"/>
      <c r="Y300" s="55"/>
      <c r="Z300" s="55"/>
      <c r="AA300" s="154"/>
    </row>
    <row r="301" spans="1:27" s="120" customFormat="1" ht="40.200000000000003" customHeight="1">
      <c r="A301" s="70">
        <f>MAX(A$14:$A300)+1</f>
        <v>276</v>
      </c>
      <c r="B301" s="162" t="s">
        <v>1203</v>
      </c>
      <c r="C301" s="129" t="s">
        <v>632</v>
      </c>
      <c r="D301" s="78" t="s">
        <v>84</v>
      </c>
      <c r="E301" s="78" t="s">
        <v>84</v>
      </c>
      <c r="F301" s="130" t="s">
        <v>330</v>
      </c>
      <c r="G301" s="78"/>
      <c r="H301" s="138" t="s">
        <v>1181</v>
      </c>
      <c r="I301" s="78" t="s">
        <v>547</v>
      </c>
      <c r="J301" s="148"/>
      <c r="K301" s="131">
        <v>5900</v>
      </c>
      <c r="L301" s="131"/>
      <c r="M301" s="131">
        <v>5900</v>
      </c>
      <c r="N301" s="149"/>
      <c r="O301" s="150"/>
      <c r="P301" s="150"/>
      <c r="Q301" s="151"/>
      <c r="R301" s="152"/>
      <c r="S301" s="131">
        <v>5900</v>
      </c>
      <c r="T301" s="131"/>
      <c r="U301" s="131"/>
      <c r="V301" s="153"/>
      <c r="W301" s="55"/>
      <c r="X301" s="55"/>
      <c r="Y301" s="55"/>
      <c r="Z301" s="55"/>
      <c r="AA301" s="154"/>
    </row>
    <row r="302" spans="1:27" s="120" customFormat="1" ht="40.200000000000003" customHeight="1">
      <c r="A302" s="70">
        <f>MAX(A$14:$A301)+1</f>
        <v>277</v>
      </c>
      <c r="B302" s="162" t="s">
        <v>1204</v>
      </c>
      <c r="C302" s="129" t="s">
        <v>632</v>
      </c>
      <c r="D302" s="78" t="s">
        <v>84</v>
      </c>
      <c r="E302" s="78" t="s">
        <v>84</v>
      </c>
      <c r="F302" s="130" t="s">
        <v>1205</v>
      </c>
      <c r="G302" s="78"/>
      <c r="H302" s="138" t="s">
        <v>1181</v>
      </c>
      <c r="I302" s="78" t="s">
        <v>547</v>
      </c>
      <c r="J302" s="148"/>
      <c r="K302" s="131">
        <v>25000</v>
      </c>
      <c r="L302" s="131"/>
      <c r="M302" s="131">
        <v>25000</v>
      </c>
      <c r="N302" s="149"/>
      <c r="O302" s="150"/>
      <c r="P302" s="150"/>
      <c r="Q302" s="151"/>
      <c r="R302" s="152"/>
      <c r="S302" s="131">
        <v>25000</v>
      </c>
      <c r="T302" s="131"/>
      <c r="U302" s="131"/>
      <c r="V302" s="153"/>
      <c r="W302" s="55"/>
      <c r="X302" s="55"/>
      <c r="Y302" s="55"/>
      <c r="Z302" s="55"/>
      <c r="AA302" s="154"/>
    </row>
    <row r="303" spans="1:27" s="248" customFormat="1" ht="40.200000000000003" customHeight="1">
      <c r="A303" s="233">
        <f>MAX(A$14:$A302)+1</f>
        <v>278</v>
      </c>
      <c r="B303" s="234" t="s">
        <v>1206</v>
      </c>
      <c r="C303" s="235" t="s">
        <v>1207</v>
      </c>
      <c r="D303" s="236" t="str">
        <f t="shared" ref="D303:E327" si="20">IF(K303&gt;=45000,"B","C")</f>
        <v>C</v>
      </c>
      <c r="E303" s="236" t="str">
        <f t="shared" si="20"/>
        <v>C</v>
      </c>
      <c r="F303" s="237" t="s">
        <v>326</v>
      </c>
      <c r="G303" s="236" t="s">
        <v>1208</v>
      </c>
      <c r="H303" s="238" t="s">
        <v>1209</v>
      </c>
      <c r="I303" s="236" t="s">
        <v>568</v>
      </c>
      <c r="J303" s="239"/>
      <c r="K303" s="240">
        <v>25000</v>
      </c>
      <c r="L303" s="240"/>
      <c r="M303" s="240">
        <f t="shared" ref="M303:M326" si="21">K303</f>
        <v>25000</v>
      </c>
      <c r="N303" s="241"/>
      <c r="O303" s="242"/>
      <c r="P303" s="242"/>
      <c r="Q303" s="243">
        <f>R303+S303</f>
        <v>22500</v>
      </c>
      <c r="R303" s="244"/>
      <c r="S303" s="240">
        <f t="shared" ref="S303:S328" si="22">M303*0.9</f>
        <v>22500</v>
      </c>
      <c r="T303" s="240">
        <v>6000</v>
      </c>
      <c r="U303" s="240"/>
      <c r="V303" s="245"/>
      <c r="W303" s="246"/>
      <c r="X303" s="246"/>
      <c r="Y303" s="246"/>
      <c r="Z303" s="246"/>
      <c r="AA303" s="247"/>
    </row>
    <row r="304" spans="1:27" s="120" customFormat="1" ht="40.200000000000003" customHeight="1">
      <c r="A304" s="70">
        <f>MAX(A$14:$A303)+1</f>
        <v>279</v>
      </c>
      <c r="B304" s="162" t="s">
        <v>1210</v>
      </c>
      <c r="C304" s="129" t="s">
        <v>1207</v>
      </c>
      <c r="D304" s="78" t="str">
        <f t="shared" si="20"/>
        <v>C</v>
      </c>
      <c r="E304" s="78" t="str">
        <f t="shared" si="20"/>
        <v>C</v>
      </c>
      <c r="F304" s="130" t="s">
        <v>344</v>
      </c>
      <c r="G304" s="78" t="s">
        <v>1208</v>
      </c>
      <c r="H304" s="138" t="s">
        <v>1211</v>
      </c>
      <c r="I304" s="78" t="s">
        <v>568</v>
      </c>
      <c r="J304" s="148"/>
      <c r="K304" s="131">
        <v>25000</v>
      </c>
      <c r="L304" s="131"/>
      <c r="M304" s="131">
        <f t="shared" si="21"/>
        <v>25000</v>
      </c>
      <c r="N304" s="149"/>
      <c r="O304" s="150"/>
      <c r="P304" s="150"/>
      <c r="Q304" s="151">
        <f t="shared" ref="Q304:Q328" si="23">R304+S304</f>
        <v>22500</v>
      </c>
      <c r="R304" s="152"/>
      <c r="S304" s="131">
        <f t="shared" si="22"/>
        <v>22500</v>
      </c>
      <c r="T304" s="131">
        <v>6000</v>
      </c>
      <c r="U304" s="131"/>
      <c r="V304" s="153"/>
      <c r="W304" s="55"/>
      <c r="X304" s="55"/>
      <c r="Y304" s="55"/>
      <c r="Z304" s="55"/>
      <c r="AA304" s="154"/>
    </row>
    <row r="305" spans="1:27" s="120" customFormat="1" ht="40.200000000000003" customHeight="1">
      <c r="A305" s="70">
        <f>MAX(A$14:$A304)+1</f>
        <v>280</v>
      </c>
      <c r="B305" s="162" t="s">
        <v>1212</v>
      </c>
      <c r="C305" s="129" t="s">
        <v>1207</v>
      </c>
      <c r="D305" s="78" t="str">
        <f t="shared" si="20"/>
        <v>C</v>
      </c>
      <c r="E305" s="78" t="str">
        <f t="shared" si="20"/>
        <v>C</v>
      </c>
      <c r="F305" s="130" t="s">
        <v>326</v>
      </c>
      <c r="G305" s="78" t="s">
        <v>1208</v>
      </c>
      <c r="H305" s="138" t="s">
        <v>1211</v>
      </c>
      <c r="I305" s="78" t="s">
        <v>568</v>
      </c>
      <c r="J305" s="148"/>
      <c r="K305" s="131">
        <v>14000</v>
      </c>
      <c r="L305" s="131"/>
      <c r="M305" s="131">
        <f t="shared" si="21"/>
        <v>14000</v>
      </c>
      <c r="N305" s="149"/>
      <c r="O305" s="150"/>
      <c r="P305" s="150"/>
      <c r="Q305" s="151">
        <f t="shared" si="23"/>
        <v>12600</v>
      </c>
      <c r="R305" s="152"/>
      <c r="S305" s="131">
        <f t="shared" si="22"/>
        <v>12600</v>
      </c>
      <c r="T305" s="131">
        <v>3000</v>
      </c>
      <c r="U305" s="131"/>
      <c r="V305" s="153"/>
      <c r="W305" s="55"/>
      <c r="X305" s="55"/>
      <c r="Y305" s="55"/>
      <c r="Z305" s="55"/>
      <c r="AA305" s="154"/>
    </row>
    <row r="306" spans="1:27" s="120" customFormat="1" ht="40.200000000000003" customHeight="1">
      <c r="A306" s="70">
        <f>MAX(A$14:$A305)+1</f>
        <v>281</v>
      </c>
      <c r="B306" s="162" t="s">
        <v>1213</v>
      </c>
      <c r="C306" s="129" t="s">
        <v>1207</v>
      </c>
      <c r="D306" s="78" t="str">
        <f t="shared" si="20"/>
        <v>C</v>
      </c>
      <c r="E306" s="78" t="str">
        <f t="shared" si="20"/>
        <v>C</v>
      </c>
      <c r="F306" s="130" t="s">
        <v>339</v>
      </c>
      <c r="G306" s="78" t="s">
        <v>1208</v>
      </c>
      <c r="H306" s="138" t="s">
        <v>1211</v>
      </c>
      <c r="I306" s="78" t="s">
        <v>568</v>
      </c>
      <c r="J306" s="148"/>
      <c r="K306" s="131">
        <v>20000</v>
      </c>
      <c r="L306" s="131"/>
      <c r="M306" s="131">
        <f t="shared" si="21"/>
        <v>20000</v>
      </c>
      <c r="N306" s="149"/>
      <c r="O306" s="150"/>
      <c r="P306" s="150"/>
      <c r="Q306" s="151">
        <f t="shared" si="23"/>
        <v>18000</v>
      </c>
      <c r="R306" s="152"/>
      <c r="S306" s="131">
        <f t="shared" si="22"/>
        <v>18000</v>
      </c>
      <c r="T306" s="131">
        <v>5000</v>
      </c>
      <c r="U306" s="131"/>
      <c r="V306" s="153"/>
      <c r="W306" s="55"/>
      <c r="X306" s="55"/>
      <c r="Y306" s="55"/>
      <c r="Z306" s="55"/>
      <c r="AA306" s="154"/>
    </row>
    <row r="307" spans="1:27" s="120" customFormat="1" ht="40.200000000000003" customHeight="1">
      <c r="A307" s="70">
        <f>MAX(A$14:$A306)+1</f>
        <v>282</v>
      </c>
      <c r="B307" s="162" t="s">
        <v>1214</v>
      </c>
      <c r="C307" s="129" t="s">
        <v>1207</v>
      </c>
      <c r="D307" s="78" t="str">
        <f t="shared" si="20"/>
        <v>C</v>
      </c>
      <c r="E307" s="78" t="str">
        <f t="shared" si="20"/>
        <v>C</v>
      </c>
      <c r="F307" s="130" t="s">
        <v>335</v>
      </c>
      <c r="G307" s="78" t="s">
        <v>1208</v>
      </c>
      <c r="H307" s="138" t="s">
        <v>1211</v>
      </c>
      <c r="I307" s="78" t="s">
        <v>568</v>
      </c>
      <c r="J307" s="148"/>
      <c r="K307" s="131">
        <v>14500</v>
      </c>
      <c r="L307" s="131"/>
      <c r="M307" s="131">
        <f t="shared" si="21"/>
        <v>14500</v>
      </c>
      <c r="N307" s="149"/>
      <c r="O307" s="150"/>
      <c r="P307" s="150"/>
      <c r="Q307" s="151">
        <f t="shared" si="23"/>
        <v>13050</v>
      </c>
      <c r="R307" s="152"/>
      <c r="S307" s="131">
        <f t="shared" si="22"/>
        <v>13050</v>
      </c>
      <c r="T307" s="131">
        <v>3000</v>
      </c>
      <c r="U307" s="131"/>
      <c r="V307" s="153"/>
      <c r="W307" s="55"/>
      <c r="X307" s="55"/>
      <c r="Y307" s="55"/>
      <c r="Z307" s="55"/>
      <c r="AA307" s="154"/>
    </row>
    <row r="308" spans="1:27" s="120" customFormat="1" ht="40.200000000000003" customHeight="1">
      <c r="A308" s="70">
        <f>MAX(A$14:$A307)+1</f>
        <v>283</v>
      </c>
      <c r="B308" s="162" t="s">
        <v>1215</v>
      </c>
      <c r="C308" s="129" t="s">
        <v>1207</v>
      </c>
      <c r="D308" s="78" t="str">
        <f t="shared" si="20"/>
        <v>C</v>
      </c>
      <c r="E308" s="78" t="str">
        <f t="shared" si="20"/>
        <v>C</v>
      </c>
      <c r="F308" s="130" t="s">
        <v>341</v>
      </c>
      <c r="G308" s="78" t="s">
        <v>1208</v>
      </c>
      <c r="H308" s="138" t="s">
        <v>1211</v>
      </c>
      <c r="I308" s="78" t="s">
        <v>568</v>
      </c>
      <c r="J308" s="148"/>
      <c r="K308" s="131">
        <v>25000</v>
      </c>
      <c r="L308" s="131"/>
      <c r="M308" s="131">
        <f t="shared" si="21"/>
        <v>25000</v>
      </c>
      <c r="N308" s="149"/>
      <c r="O308" s="150"/>
      <c r="P308" s="150"/>
      <c r="Q308" s="151">
        <f t="shared" si="23"/>
        <v>22500</v>
      </c>
      <c r="R308" s="152"/>
      <c r="S308" s="131">
        <f t="shared" si="22"/>
        <v>22500</v>
      </c>
      <c r="T308" s="131">
        <v>6000</v>
      </c>
      <c r="U308" s="131"/>
      <c r="V308" s="153"/>
      <c r="W308" s="55"/>
      <c r="X308" s="55"/>
      <c r="Y308" s="55"/>
      <c r="Z308" s="55"/>
      <c r="AA308" s="154"/>
    </row>
    <row r="309" spans="1:27" s="120" customFormat="1" ht="40.200000000000003" customHeight="1">
      <c r="A309" s="70">
        <f>MAX(A$14:$A308)+1</f>
        <v>284</v>
      </c>
      <c r="B309" s="162" t="s">
        <v>1216</v>
      </c>
      <c r="C309" s="129" t="s">
        <v>1207</v>
      </c>
      <c r="D309" s="78" t="str">
        <f t="shared" si="20"/>
        <v>C</v>
      </c>
      <c r="E309" s="78" t="str">
        <f t="shared" si="20"/>
        <v>C</v>
      </c>
      <c r="F309" s="130" t="s">
        <v>348</v>
      </c>
      <c r="G309" s="78" t="s">
        <v>1208</v>
      </c>
      <c r="H309" s="138" t="s">
        <v>1217</v>
      </c>
      <c r="I309" s="78" t="s">
        <v>568</v>
      </c>
      <c r="J309" s="148"/>
      <c r="K309" s="131">
        <v>28000</v>
      </c>
      <c r="L309" s="131"/>
      <c r="M309" s="131">
        <f t="shared" si="21"/>
        <v>28000</v>
      </c>
      <c r="N309" s="149"/>
      <c r="O309" s="150"/>
      <c r="P309" s="150"/>
      <c r="Q309" s="151">
        <f t="shared" si="23"/>
        <v>25200</v>
      </c>
      <c r="R309" s="152"/>
      <c r="S309" s="131">
        <f t="shared" si="22"/>
        <v>25200</v>
      </c>
      <c r="T309" s="131">
        <v>6000</v>
      </c>
      <c r="U309" s="131"/>
      <c r="V309" s="153"/>
      <c r="W309" s="55"/>
      <c r="X309" s="55"/>
      <c r="Y309" s="55"/>
      <c r="Z309" s="55"/>
      <c r="AA309" s="154"/>
    </row>
    <row r="310" spans="1:27" s="120" customFormat="1" ht="40.200000000000003" customHeight="1">
      <c r="A310" s="70">
        <f>MAX(A$14:$A309)+1</f>
        <v>285</v>
      </c>
      <c r="B310" s="162" t="s">
        <v>1218</v>
      </c>
      <c r="C310" s="129" t="s">
        <v>1207</v>
      </c>
      <c r="D310" s="78" t="str">
        <f t="shared" si="20"/>
        <v>C</v>
      </c>
      <c r="E310" s="78" t="str">
        <f t="shared" si="20"/>
        <v>C</v>
      </c>
      <c r="F310" s="130" t="s">
        <v>354</v>
      </c>
      <c r="G310" s="78" t="s">
        <v>1208</v>
      </c>
      <c r="H310" s="138" t="s">
        <v>1217</v>
      </c>
      <c r="I310" s="78" t="s">
        <v>568</v>
      </c>
      <c r="J310" s="148"/>
      <c r="K310" s="131">
        <v>14000</v>
      </c>
      <c r="L310" s="131"/>
      <c r="M310" s="131">
        <f t="shared" si="21"/>
        <v>14000</v>
      </c>
      <c r="N310" s="149"/>
      <c r="O310" s="150"/>
      <c r="P310" s="150"/>
      <c r="Q310" s="151">
        <f t="shared" si="23"/>
        <v>12600</v>
      </c>
      <c r="R310" s="152"/>
      <c r="S310" s="131">
        <f t="shared" si="22"/>
        <v>12600</v>
      </c>
      <c r="T310" s="131">
        <v>3000</v>
      </c>
      <c r="U310" s="131"/>
      <c r="V310" s="153"/>
      <c r="W310" s="55"/>
      <c r="X310" s="55"/>
      <c r="Y310" s="55"/>
      <c r="Z310" s="55"/>
      <c r="AA310" s="154"/>
    </row>
    <row r="311" spans="1:27" s="120" customFormat="1" ht="40.200000000000003" customHeight="1">
      <c r="A311" s="70">
        <f>MAX(A$14:$A310)+1</f>
        <v>286</v>
      </c>
      <c r="B311" s="162" t="s">
        <v>1219</v>
      </c>
      <c r="C311" s="129" t="s">
        <v>1207</v>
      </c>
      <c r="D311" s="78" t="str">
        <f t="shared" si="20"/>
        <v>C</v>
      </c>
      <c r="E311" s="78" t="str">
        <f t="shared" si="20"/>
        <v>C</v>
      </c>
      <c r="F311" s="130" t="s">
        <v>334</v>
      </c>
      <c r="G311" s="78" t="s">
        <v>1208</v>
      </c>
      <c r="H311" s="138" t="s">
        <v>1217</v>
      </c>
      <c r="I311" s="78" t="s">
        <v>568</v>
      </c>
      <c r="J311" s="148"/>
      <c r="K311" s="131">
        <v>18000</v>
      </c>
      <c r="L311" s="131"/>
      <c r="M311" s="131">
        <f t="shared" si="21"/>
        <v>18000</v>
      </c>
      <c r="N311" s="149"/>
      <c r="O311" s="150"/>
      <c r="P311" s="150"/>
      <c r="Q311" s="151">
        <f t="shared" si="23"/>
        <v>16200</v>
      </c>
      <c r="R311" s="152"/>
      <c r="S311" s="131">
        <f t="shared" si="22"/>
        <v>16200</v>
      </c>
      <c r="T311" s="131">
        <v>4000</v>
      </c>
      <c r="U311" s="131"/>
      <c r="V311" s="153"/>
      <c r="W311" s="55"/>
      <c r="X311" s="55"/>
      <c r="Y311" s="55"/>
      <c r="Z311" s="55"/>
      <c r="AA311" s="154"/>
    </row>
    <row r="312" spans="1:27" s="120" customFormat="1" ht="40.200000000000003" customHeight="1">
      <c r="A312" s="70">
        <f>MAX(A$14:$A311)+1</f>
        <v>287</v>
      </c>
      <c r="B312" s="162" t="s">
        <v>1220</v>
      </c>
      <c r="C312" s="129" t="s">
        <v>1207</v>
      </c>
      <c r="D312" s="78" t="str">
        <f t="shared" si="20"/>
        <v>C</v>
      </c>
      <c r="E312" s="78" t="str">
        <f t="shared" si="20"/>
        <v>C</v>
      </c>
      <c r="F312" s="130" t="s">
        <v>324</v>
      </c>
      <c r="G312" s="78" t="s">
        <v>1208</v>
      </c>
      <c r="H312" s="138" t="s">
        <v>1217</v>
      </c>
      <c r="I312" s="78" t="s">
        <v>568</v>
      </c>
      <c r="J312" s="148"/>
      <c r="K312" s="131">
        <v>20000</v>
      </c>
      <c r="L312" s="131"/>
      <c r="M312" s="131">
        <f t="shared" si="21"/>
        <v>20000</v>
      </c>
      <c r="N312" s="149"/>
      <c r="O312" s="150"/>
      <c r="P312" s="150"/>
      <c r="Q312" s="151">
        <f t="shared" si="23"/>
        <v>18000</v>
      </c>
      <c r="R312" s="152"/>
      <c r="S312" s="131">
        <f t="shared" si="22"/>
        <v>18000</v>
      </c>
      <c r="T312" s="131">
        <v>5000</v>
      </c>
      <c r="U312" s="131"/>
      <c r="V312" s="153"/>
      <c r="W312" s="55"/>
      <c r="X312" s="55"/>
      <c r="Y312" s="55"/>
      <c r="Z312" s="55"/>
      <c r="AA312" s="154"/>
    </row>
    <row r="313" spans="1:27" s="120" customFormat="1" ht="40.200000000000003" customHeight="1">
      <c r="A313" s="70">
        <f>MAX(A$14:$A312)+1</f>
        <v>288</v>
      </c>
      <c r="B313" s="162" t="s">
        <v>1221</v>
      </c>
      <c r="C313" s="129" t="s">
        <v>1207</v>
      </c>
      <c r="D313" s="78" t="str">
        <f t="shared" si="20"/>
        <v>C</v>
      </c>
      <c r="E313" s="78" t="str">
        <f t="shared" si="20"/>
        <v>C</v>
      </c>
      <c r="F313" s="130" t="s">
        <v>1222</v>
      </c>
      <c r="G313" s="78" t="s">
        <v>1208</v>
      </c>
      <c r="H313" s="138" t="s">
        <v>1217</v>
      </c>
      <c r="I313" s="78" t="s">
        <v>568</v>
      </c>
      <c r="J313" s="148"/>
      <c r="K313" s="131">
        <v>20000</v>
      </c>
      <c r="L313" s="131"/>
      <c r="M313" s="131">
        <f t="shared" si="21"/>
        <v>20000</v>
      </c>
      <c r="N313" s="149"/>
      <c r="O313" s="150"/>
      <c r="P313" s="150"/>
      <c r="Q313" s="151">
        <f t="shared" si="23"/>
        <v>18000</v>
      </c>
      <c r="R313" s="152"/>
      <c r="S313" s="131">
        <f t="shared" si="22"/>
        <v>18000</v>
      </c>
      <c r="T313" s="131">
        <v>5000</v>
      </c>
      <c r="U313" s="131"/>
      <c r="V313" s="153"/>
      <c r="W313" s="55"/>
      <c r="X313" s="55"/>
      <c r="Y313" s="55"/>
      <c r="Z313" s="55"/>
      <c r="AA313" s="154"/>
    </row>
    <row r="314" spans="1:27" s="120" customFormat="1" ht="40.200000000000003" customHeight="1">
      <c r="A314" s="70">
        <f>MAX(A$14:$A313)+1</f>
        <v>289</v>
      </c>
      <c r="B314" s="162" t="s">
        <v>1223</v>
      </c>
      <c r="C314" s="129" t="s">
        <v>1207</v>
      </c>
      <c r="D314" s="78" t="str">
        <f t="shared" si="20"/>
        <v>C</v>
      </c>
      <c r="E314" s="78" t="str">
        <f t="shared" si="20"/>
        <v>C</v>
      </c>
      <c r="F314" s="130" t="s">
        <v>330</v>
      </c>
      <c r="G314" s="78" t="s">
        <v>1208</v>
      </c>
      <c r="H314" s="138" t="s">
        <v>1217</v>
      </c>
      <c r="I314" s="78" t="s">
        <v>568</v>
      </c>
      <c r="J314" s="148"/>
      <c r="K314" s="131">
        <v>20000</v>
      </c>
      <c r="L314" s="131"/>
      <c r="M314" s="131">
        <f t="shared" si="21"/>
        <v>20000</v>
      </c>
      <c r="N314" s="149"/>
      <c r="O314" s="150"/>
      <c r="P314" s="150"/>
      <c r="Q314" s="151">
        <f t="shared" si="23"/>
        <v>18000</v>
      </c>
      <c r="R314" s="152"/>
      <c r="S314" s="131">
        <f t="shared" si="22"/>
        <v>18000</v>
      </c>
      <c r="T314" s="131">
        <v>5000</v>
      </c>
      <c r="U314" s="131"/>
      <c r="V314" s="153"/>
      <c r="W314" s="55"/>
      <c r="X314" s="55"/>
      <c r="Y314" s="55"/>
      <c r="Z314" s="55"/>
      <c r="AA314" s="154"/>
    </row>
    <row r="315" spans="1:27" s="120" customFormat="1" ht="40.200000000000003" customHeight="1">
      <c r="A315" s="70">
        <f>MAX(A$14:$A314)+1</f>
        <v>290</v>
      </c>
      <c r="B315" s="162" t="s">
        <v>1224</v>
      </c>
      <c r="C315" s="129" t="s">
        <v>1207</v>
      </c>
      <c r="D315" s="78" t="str">
        <f t="shared" si="20"/>
        <v>C</v>
      </c>
      <c r="E315" s="78" t="str">
        <f t="shared" si="20"/>
        <v>C</v>
      </c>
      <c r="F315" s="130" t="s">
        <v>338</v>
      </c>
      <c r="G315" s="78" t="s">
        <v>1052</v>
      </c>
      <c r="H315" s="138" t="s">
        <v>1217</v>
      </c>
      <c r="I315" s="78" t="s">
        <v>568</v>
      </c>
      <c r="J315" s="148"/>
      <c r="K315" s="131">
        <v>27000</v>
      </c>
      <c r="L315" s="131"/>
      <c r="M315" s="131">
        <f t="shared" si="21"/>
        <v>27000</v>
      </c>
      <c r="N315" s="149"/>
      <c r="O315" s="150"/>
      <c r="P315" s="150"/>
      <c r="Q315" s="151">
        <f t="shared" si="23"/>
        <v>24300</v>
      </c>
      <c r="R315" s="152"/>
      <c r="S315" s="131">
        <f t="shared" si="22"/>
        <v>24300</v>
      </c>
      <c r="T315" s="131">
        <v>6000</v>
      </c>
      <c r="U315" s="131"/>
      <c r="V315" s="153"/>
      <c r="W315" s="55"/>
      <c r="X315" s="55"/>
      <c r="Y315" s="55"/>
      <c r="Z315" s="55"/>
      <c r="AA315" s="154"/>
    </row>
    <row r="316" spans="1:27" s="120" customFormat="1" ht="40.200000000000003" customHeight="1">
      <c r="A316" s="70">
        <f>MAX(A$14:$A315)+1</f>
        <v>291</v>
      </c>
      <c r="B316" s="162" t="s">
        <v>1225</v>
      </c>
      <c r="C316" s="129" t="s">
        <v>1207</v>
      </c>
      <c r="D316" s="78" t="str">
        <f t="shared" si="20"/>
        <v>C</v>
      </c>
      <c r="E316" s="78" t="str">
        <f t="shared" si="20"/>
        <v>C</v>
      </c>
      <c r="F316" s="130" t="s">
        <v>343</v>
      </c>
      <c r="G316" s="78" t="s">
        <v>1208</v>
      </c>
      <c r="H316" s="138" t="s">
        <v>1217</v>
      </c>
      <c r="I316" s="78" t="s">
        <v>568</v>
      </c>
      <c r="J316" s="148"/>
      <c r="K316" s="131">
        <v>14500</v>
      </c>
      <c r="L316" s="131"/>
      <c r="M316" s="131">
        <f t="shared" si="21"/>
        <v>14500</v>
      </c>
      <c r="N316" s="149"/>
      <c r="O316" s="150"/>
      <c r="P316" s="150"/>
      <c r="Q316" s="151">
        <f t="shared" si="23"/>
        <v>13050</v>
      </c>
      <c r="R316" s="152"/>
      <c r="S316" s="131">
        <f t="shared" si="22"/>
        <v>13050</v>
      </c>
      <c r="T316" s="131">
        <v>3000</v>
      </c>
      <c r="U316" s="131"/>
      <c r="V316" s="153"/>
      <c r="W316" s="55"/>
      <c r="X316" s="55"/>
      <c r="Y316" s="55"/>
      <c r="Z316" s="55"/>
      <c r="AA316" s="154"/>
    </row>
    <row r="317" spans="1:27" s="120" customFormat="1" ht="40.200000000000003" customHeight="1">
      <c r="A317" s="70">
        <f>MAX(A$14:$A316)+1</f>
        <v>292</v>
      </c>
      <c r="B317" s="162" t="s">
        <v>1226</v>
      </c>
      <c r="C317" s="129" t="s">
        <v>1207</v>
      </c>
      <c r="D317" s="78" t="str">
        <f t="shared" si="20"/>
        <v>C</v>
      </c>
      <c r="E317" s="78" t="str">
        <f t="shared" si="20"/>
        <v>C</v>
      </c>
      <c r="F317" s="130" t="s">
        <v>342</v>
      </c>
      <c r="G317" s="78" t="s">
        <v>1208</v>
      </c>
      <c r="H317" s="138" t="s">
        <v>1217</v>
      </c>
      <c r="I317" s="78" t="s">
        <v>568</v>
      </c>
      <c r="J317" s="148"/>
      <c r="K317" s="131">
        <v>28000</v>
      </c>
      <c r="L317" s="131"/>
      <c r="M317" s="131">
        <f t="shared" si="21"/>
        <v>28000</v>
      </c>
      <c r="N317" s="149"/>
      <c r="O317" s="150"/>
      <c r="P317" s="150"/>
      <c r="Q317" s="151">
        <f t="shared" si="23"/>
        <v>25200</v>
      </c>
      <c r="R317" s="152"/>
      <c r="S317" s="131">
        <f t="shared" si="22"/>
        <v>25200</v>
      </c>
      <c r="T317" s="131">
        <v>6000</v>
      </c>
      <c r="U317" s="131"/>
      <c r="V317" s="153"/>
      <c r="W317" s="55"/>
      <c r="X317" s="55"/>
      <c r="Y317" s="55"/>
      <c r="Z317" s="55"/>
      <c r="AA317" s="154"/>
    </row>
    <row r="318" spans="1:27" s="120" customFormat="1" ht="40.200000000000003" customHeight="1">
      <c r="A318" s="70">
        <f>MAX(A$14:$A317)+1</f>
        <v>293</v>
      </c>
      <c r="B318" s="162" t="s">
        <v>1227</v>
      </c>
      <c r="C318" s="129" t="s">
        <v>1207</v>
      </c>
      <c r="D318" s="78" t="str">
        <f t="shared" si="20"/>
        <v>C</v>
      </c>
      <c r="E318" s="78" t="str">
        <f t="shared" si="20"/>
        <v>C</v>
      </c>
      <c r="F318" s="130" t="s">
        <v>1228</v>
      </c>
      <c r="G318" s="78" t="s">
        <v>1208</v>
      </c>
      <c r="H318" s="138" t="s">
        <v>1217</v>
      </c>
      <c r="I318" s="78" t="s">
        <v>568</v>
      </c>
      <c r="J318" s="148"/>
      <c r="K318" s="131">
        <v>20000</v>
      </c>
      <c r="L318" s="131"/>
      <c r="M318" s="131">
        <f t="shared" si="21"/>
        <v>20000</v>
      </c>
      <c r="N318" s="149"/>
      <c r="O318" s="150"/>
      <c r="P318" s="150"/>
      <c r="Q318" s="151">
        <f t="shared" si="23"/>
        <v>18000</v>
      </c>
      <c r="R318" s="152"/>
      <c r="S318" s="131">
        <f t="shared" si="22"/>
        <v>18000</v>
      </c>
      <c r="T318" s="131">
        <v>5000</v>
      </c>
      <c r="U318" s="131"/>
      <c r="V318" s="153"/>
      <c r="W318" s="55"/>
      <c r="X318" s="55"/>
      <c r="Y318" s="55"/>
      <c r="Z318" s="55"/>
      <c r="AA318" s="154"/>
    </row>
    <row r="319" spans="1:27" s="120" customFormat="1" ht="40.200000000000003" customHeight="1">
      <c r="A319" s="70">
        <f>MAX(A$14:$A318)+1</f>
        <v>294</v>
      </c>
      <c r="B319" s="162" t="s">
        <v>1229</v>
      </c>
      <c r="C319" s="129" t="s">
        <v>1207</v>
      </c>
      <c r="D319" s="78" t="str">
        <f t="shared" si="20"/>
        <v>C</v>
      </c>
      <c r="E319" s="78" t="str">
        <f t="shared" si="20"/>
        <v>C</v>
      </c>
      <c r="F319" s="130" t="s">
        <v>325</v>
      </c>
      <c r="G319" s="78" t="s">
        <v>1208</v>
      </c>
      <c r="H319" s="138" t="s">
        <v>1217</v>
      </c>
      <c r="I319" s="78" t="s">
        <v>568</v>
      </c>
      <c r="J319" s="148"/>
      <c r="K319" s="131">
        <v>14000</v>
      </c>
      <c r="L319" s="131"/>
      <c r="M319" s="131">
        <f t="shared" si="21"/>
        <v>14000</v>
      </c>
      <c r="N319" s="149"/>
      <c r="O319" s="150"/>
      <c r="P319" s="150"/>
      <c r="Q319" s="151">
        <f t="shared" si="23"/>
        <v>12600</v>
      </c>
      <c r="R319" s="152"/>
      <c r="S319" s="131">
        <f t="shared" si="22"/>
        <v>12600</v>
      </c>
      <c r="T319" s="131">
        <v>3000</v>
      </c>
      <c r="U319" s="131"/>
      <c r="V319" s="153"/>
      <c r="W319" s="55"/>
      <c r="X319" s="55"/>
      <c r="Y319" s="55"/>
      <c r="Z319" s="55"/>
      <c r="AA319" s="154"/>
    </row>
    <row r="320" spans="1:27" s="120" customFormat="1" ht="40.200000000000003" customHeight="1">
      <c r="A320" s="70">
        <f>MAX(A$14:$A319)+1</f>
        <v>295</v>
      </c>
      <c r="B320" s="162" t="s">
        <v>1230</v>
      </c>
      <c r="C320" s="129" t="s">
        <v>1207</v>
      </c>
      <c r="D320" s="78" t="str">
        <f t="shared" si="20"/>
        <v>C</v>
      </c>
      <c r="E320" s="78" t="str">
        <f t="shared" si="20"/>
        <v>C</v>
      </c>
      <c r="F320" s="130" t="s">
        <v>322</v>
      </c>
      <c r="G320" s="78" t="s">
        <v>1208</v>
      </c>
      <c r="H320" s="138" t="s">
        <v>1217</v>
      </c>
      <c r="I320" s="78" t="s">
        <v>568</v>
      </c>
      <c r="J320" s="148"/>
      <c r="K320" s="131">
        <v>13000</v>
      </c>
      <c r="L320" s="131"/>
      <c r="M320" s="131">
        <f t="shared" si="21"/>
        <v>13000</v>
      </c>
      <c r="N320" s="149"/>
      <c r="O320" s="150"/>
      <c r="P320" s="150"/>
      <c r="Q320" s="151">
        <f t="shared" si="23"/>
        <v>11700</v>
      </c>
      <c r="R320" s="152"/>
      <c r="S320" s="131">
        <f t="shared" si="22"/>
        <v>11700</v>
      </c>
      <c r="T320" s="131">
        <v>3000</v>
      </c>
      <c r="U320" s="131"/>
      <c r="V320" s="153"/>
      <c r="W320" s="55"/>
      <c r="X320" s="55"/>
      <c r="Y320" s="55"/>
      <c r="Z320" s="55"/>
      <c r="AA320" s="154"/>
    </row>
    <row r="321" spans="1:32" s="120" customFormat="1" ht="40.200000000000003" customHeight="1">
      <c r="A321" s="70">
        <f>MAX(A$14:$A320)+1</f>
        <v>296</v>
      </c>
      <c r="B321" s="162" t="s">
        <v>1231</v>
      </c>
      <c r="C321" s="129" t="s">
        <v>1207</v>
      </c>
      <c r="D321" s="78" t="str">
        <f t="shared" si="20"/>
        <v>C</v>
      </c>
      <c r="E321" s="78" t="str">
        <f t="shared" si="20"/>
        <v>C</v>
      </c>
      <c r="F321" s="130" t="s">
        <v>347</v>
      </c>
      <c r="G321" s="78" t="s">
        <v>1208</v>
      </c>
      <c r="H321" s="138" t="s">
        <v>1211</v>
      </c>
      <c r="I321" s="78" t="s">
        <v>568</v>
      </c>
      <c r="J321" s="148"/>
      <c r="K321" s="131">
        <v>28000</v>
      </c>
      <c r="L321" s="131"/>
      <c r="M321" s="131">
        <f t="shared" si="21"/>
        <v>28000</v>
      </c>
      <c r="N321" s="149"/>
      <c r="O321" s="150"/>
      <c r="P321" s="150"/>
      <c r="Q321" s="151">
        <f t="shared" si="23"/>
        <v>25200</v>
      </c>
      <c r="R321" s="152"/>
      <c r="S321" s="131">
        <f t="shared" si="22"/>
        <v>25200</v>
      </c>
      <c r="T321" s="131">
        <v>6000</v>
      </c>
      <c r="U321" s="131"/>
      <c r="V321" s="153"/>
      <c r="W321" s="55"/>
      <c r="X321" s="55"/>
      <c r="Y321" s="55"/>
      <c r="Z321" s="55"/>
      <c r="AA321" s="154"/>
    </row>
    <row r="322" spans="1:32" s="120" customFormat="1" ht="40.200000000000003" customHeight="1">
      <c r="A322" s="70">
        <f>MAX(A$14:$A321)+1</f>
        <v>297</v>
      </c>
      <c r="B322" s="162" t="s">
        <v>1232</v>
      </c>
      <c r="C322" s="129" t="s">
        <v>1207</v>
      </c>
      <c r="D322" s="78" t="str">
        <f t="shared" si="20"/>
        <v>C</v>
      </c>
      <c r="E322" s="78" t="str">
        <f t="shared" si="20"/>
        <v>C</v>
      </c>
      <c r="F322" s="130" t="s">
        <v>355</v>
      </c>
      <c r="G322" s="78" t="s">
        <v>1208</v>
      </c>
      <c r="H322" s="138" t="s">
        <v>1211</v>
      </c>
      <c r="I322" s="78" t="s">
        <v>568</v>
      </c>
      <c r="J322" s="148"/>
      <c r="K322" s="131">
        <v>14500</v>
      </c>
      <c r="L322" s="131"/>
      <c r="M322" s="131">
        <f t="shared" si="21"/>
        <v>14500</v>
      </c>
      <c r="N322" s="149"/>
      <c r="O322" s="150"/>
      <c r="P322" s="150"/>
      <c r="Q322" s="151">
        <f t="shared" si="23"/>
        <v>13050</v>
      </c>
      <c r="R322" s="152"/>
      <c r="S322" s="131">
        <f t="shared" si="22"/>
        <v>13050</v>
      </c>
      <c r="T322" s="131">
        <v>3000</v>
      </c>
      <c r="U322" s="131"/>
      <c r="V322" s="153"/>
      <c r="W322" s="55"/>
      <c r="X322" s="55"/>
      <c r="Y322" s="55"/>
      <c r="Z322" s="55"/>
      <c r="AA322" s="154"/>
    </row>
    <row r="323" spans="1:32" s="120" customFormat="1" ht="40.200000000000003" customHeight="1">
      <c r="A323" s="70">
        <f>MAX(A$14:$A322)+1</f>
        <v>298</v>
      </c>
      <c r="B323" s="162" t="s">
        <v>1233</v>
      </c>
      <c r="C323" s="129" t="s">
        <v>1207</v>
      </c>
      <c r="D323" s="78" t="str">
        <f t="shared" si="20"/>
        <v>C</v>
      </c>
      <c r="E323" s="78" t="str">
        <f t="shared" si="20"/>
        <v>C</v>
      </c>
      <c r="F323" s="130" t="s">
        <v>336</v>
      </c>
      <c r="G323" s="78" t="s">
        <v>1208</v>
      </c>
      <c r="H323" s="138" t="s">
        <v>1217</v>
      </c>
      <c r="I323" s="78" t="s">
        <v>668</v>
      </c>
      <c r="J323" s="148"/>
      <c r="K323" s="131">
        <v>25000</v>
      </c>
      <c r="L323" s="131"/>
      <c r="M323" s="131">
        <f t="shared" si="21"/>
        <v>25000</v>
      </c>
      <c r="N323" s="149"/>
      <c r="O323" s="150"/>
      <c r="P323" s="150"/>
      <c r="Q323" s="151">
        <f t="shared" si="23"/>
        <v>22500</v>
      </c>
      <c r="R323" s="152"/>
      <c r="S323" s="131">
        <f t="shared" si="22"/>
        <v>22500</v>
      </c>
      <c r="T323" s="131"/>
      <c r="U323" s="131"/>
      <c r="V323" s="153"/>
      <c r="W323" s="55"/>
      <c r="X323" s="55"/>
      <c r="Y323" s="55"/>
      <c r="Z323" s="55"/>
      <c r="AA323" s="154"/>
    </row>
    <row r="324" spans="1:32" s="120" customFormat="1" ht="40.200000000000003" customHeight="1">
      <c r="A324" s="70">
        <f>MAX(A$14:$A323)+1</f>
        <v>299</v>
      </c>
      <c r="B324" s="162" t="s">
        <v>1234</v>
      </c>
      <c r="C324" s="129" t="s">
        <v>1207</v>
      </c>
      <c r="D324" s="78" t="str">
        <f t="shared" si="20"/>
        <v>C</v>
      </c>
      <c r="E324" s="78" t="str">
        <f t="shared" si="20"/>
        <v>C</v>
      </c>
      <c r="F324" s="130" t="s">
        <v>323</v>
      </c>
      <c r="G324" s="78" t="s">
        <v>1208</v>
      </c>
      <c r="H324" s="138" t="s">
        <v>1211</v>
      </c>
      <c r="I324" s="78" t="s">
        <v>668</v>
      </c>
      <c r="J324" s="148"/>
      <c r="K324" s="131">
        <v>14000</v>
      </c>
      <c r="L324" s="131"/>
      <c r="M324" s="131">
        <f t="shared" si="21"/>
        <v>14000</v>
      </c>
      <c r="N324" s="149"/>
      <c r="O324" s="150"/>
      <c r="P324" s="150"/>
      <c r="Q324" s="151">
        <f t="shared" si="23"/>
        <v>12600</v>
      </c>
      <c r="R324" s="152"/>
      <c r="S324" s="131">
        <f t="shared" si="22"/>
        <v>12600</v>
      </c>
      <c r="T324" s="131"/>
      <c r="U324" s="131"/>
      <c r="V324" s="153"/>
      <c r="W324" s="55"/>
      <c r="X324" s="55"/>
      <c r="Y324" s="55"/>
      <c r="Z324" s="55"/>
      <c r="AA324" s="154"/>
    </row>
    <row r="325" spans="1:32" s="120" customFormat="1" ht="40.200000000000003" customHeight="1">
      <c r="A325" s="70">
        <f>MAX(A$14:$A324)+1</f>
        <v>300</v>
      </c>
      <c r="B325" s="162" t="s">
        <v>1235</v>
      </c>
      <c r="C325" s="129" t="s">
        <v>1207</v>
      </c>
      <c r="D325" s="78" t="str">
        <f t="shared" si="20"/>
        <v>C</v>
      </c>
      <c r="E325" s="78" t="str">
        <f t="shared" si="20"/>
        <v>C</v>
      </c>
      <c r="F325" s="130" t="s">
        <v>1236</v>
      </c>
      <c r="G325" s="78" t="s">
        <v>1208</v>
      </c>
      <c r="H325" s="138" t="s">
        <v>1211</v>
      </c>
      <c r="I325" s="78" t="s">
        <v>668</v>
      </c>
      <c r="J325" s="148"/>
      <c r="K325" s="131">
        <v>14000</v>
      </c>
      <c r="L325" s="131"/>
      <c r="M325" s="131">
        <f t="shared" si="21"/>
        <v>14000</v>
      </c>
      <c r="N325" s="149"/>
      <c r="O325" s="150"/>
      <c r="P325" s="150"/>
      <c r="Q325" s="151">
        <f t="shared" si="23"/>
        <v>12600</v>
      </c>
      <c r="R325" s="152"/>
      <c r="S325" s="131">
        <f t="shared" si="22"/>
        <v>12600</v>
      </c>
      <c r="T325" s="131"/>
      <c r="U325" s="131"/>
      <c r="V325" s="153"/>
      <c r="W325" s="55"/>
      <c r="X325" s="55"/>
      <c r="Y325" s="55"/>
      <c r="Z325" s="55"/>
      <c r="AA325" s="154"/>
    </row>
    <row r="326" spans="1:32" s="120" customFormat="1" ht="40.200000000000003" customHeight="1">
      <c r="A326" s="70">
        <f>MAX(A$14:$A325)+1</f>
        <v>301</v>
      </c>
      <c r="B326" s="162" t="s">
        <v>1237</v>
      </c>
      <c r="C326" s="129" t="s">
        <v>1207</v>
      </c>
      <c r="D326" s="78" t="str">
        <f t="shared" si="20"/>
        <v>C</v>
      </c>
      <c r="E326" s="78" t="str">
        <f t="shared" si="20"/>
        <v>C</v>
      </c>
      <c r="F326" s="130" t="s">
        <v>351</v>
      </c>
      <c r="G326" s="78" t="s">
        <v>1208</v>
      </c>
      <c r="H326" s="138" t="s">
        <v>1217</v>
      </c>
      <c r="I326" s="78" t="s">
        <v>668</v>
      </c>
      <c r="J326" s="148"/>
      <c r="K326" s="131">
        <v>14500</v>
      </c>
      <c r="L326" s="131"/>
      <c r="M326" s="131">
        <f t="shared" si="21"/>
        <v>14500</v>
      </c>
      <c r="N326" s="149"/>
      <c r="O326" s="150"/>
      <c r="P326" s="150"/>
      <c r="Q326" s="151">
        <f t="shared" si="23"/>
        <v>13050</v>
      </c>
      <c r="R326" s="152"/>
      <c r="S326" s="131">
        <f t="shared" si="22"/>
        <v>13050</v>
      </c>
      <c r="T326" s="131"/>
      <c r="U326" s="131"/>
      <c r="V326" s="153"/>
      <c r="W326" s="55"/>
      <c r="X326" s="55"/>
      <c r="Y326" s="55"/>
      <c r="Z326" s="55"/>
      <c r="AA326" s="154"/>
    </row>
    <row r="327" spans="1:32" s="120" customFormat="1" ht="40.200000000000003" customHeight="1">
      <c r="A327" s="70">
        <f>MAX(A$14:$A326)+1</f>
        <v>302</v>
      </c>
      <c r="B327" s="162" t="s">
        <v>1238</v>
      </c>
      <c r="C327" s="129" t="s">
        <v>1207</v>
      </c>
      <c r="D327" s="78" t="str">
        <f t="shared" si="20"/>
        <v>C</v>
      </c>
      <c r="E327" s="78" t="str">
        <f t="shared" si="20"/>
        <v>C</v>
      </c>
      <c r="F327" s="130" t="s">
        <v>333</v>
      </c>
      <c r="G327" s="78" t="s">
        <v>1208</v>
      </c>
      <c r="H327" s="138" t="s">
        <v>1217</v>
      </c>
      <c r="I327" s="78" t="s">
        <v>668</v>
      </c>
      <c r="J327" s="148"/>
      <c r="K327" s="131">
        <v>14000</v>
      </c>
      <c r="L327" s="131"/>
      <c r="M327" s="131">
        <f>K327</f>
        <v>14000</v>
      </c>
      <c r="N327" s="149"/>
      <c r="O327" s="150"/>
      <c r="P327" s="150"/>
      <c r="Q327" s="151">
        <f t="shared" si="23"/>
        <v>12600</v>
      </c>
      <c r="R327" s="152"/>
      <c r="S327" s="131">
        <f t="shared" si="22"/>
        <v>12600</v>
      </c>
      <c r="T327" s="131"/>
      <c r="U327" s="131"/>
      <c r="V327" s="153"/>
      <c r="W327" s="55"/>
      <c r="X327" s="55"/>
      <c r="Y327" s="55"/>
      <c r="Z327" s="55"/>
      <c r="AA327" s="154"/>
    </row>
    <row r="328" spans="1:32" s="120" customFormat="1" ht="40.200000000000003" customHeight="1">
      <c r="A328" s="70">
        <f>MAX(A$14:$A327)+1</f>
        <v>303</v>
      </c>
      <c r="B328" s="162" t="s">
        <v>1239</v>
      </c>
      <c r="C328" s="129" t="s">
        <v>1207</v>
      </c>
      <c r="D328" s="78" t="str">
        <f>IF(K328&gt;=45000,"B","C")</f>
        <v>B</v>
      </c>
      <c r="E328" s="78" t="s">
        <v>84</v>
      </c>
      <c r="F328" s="130" t="s">
        <v>324</v>
      </c>
      <c r="G328" s="78" t="s">
        <v>1240</v>
      </c>
      <c r="H328" s="138" t="s">
        <v>1241</v>
      </c>
      <c r="I328" s="78" t="s">
        <v>462</v>
      </c>
      <c r="J328" s="148"/>
      <c r="K328" s="131">
        <v>70000</v>
      </c>
      <c r="L328" s="131"/>
      <c r="M328" s="131">
        <v>70000</v>
      </c>
      <c r="N328" s="149"/>
      <c r="O328" s="150"/>
      <c r="P328" s="150"/>
      <c r="Q328" s="151">
        <f t="shared" si="23"/>
        <v>63000</v>
      </c>
      <c r="R328" s="152">
        <f>L328*0.9</f>
        <v>0</v>
      </c>
      <c r="S328" s="131">
        <f t="shared" si="22"/>
        <v>63000</v>
      </c>
      <c r="T328" s="131">
        <v>16000</v>
      </c>
      <c r="U328" s="131"/>
      <c r="V328" s="153"/>
      <c r="W328" s="55"/>
      <c r="X328" s="55"/>
      <c r="Y328" s="55"/>
      <c r="Z328" s="55"/>
      <c r="AA328" s="154"/>
    </row>
    <row r="329" spans="1:32" s="120" customFormat="1" ht="40.200000000000003" customHeight="1">
      <c r="A329" s="70">
        <f>MAX(A$14:$A328)+1</f>
        <v>304</v>
      </c>
      <c r="B329" s="162" t="s">
        <v>1242</v>
      </c>
      <c r="C329" s="129" t="s">
        <v>1207</v>
      </c>
      <c r="D329" s="78" t="s">
        <v>84</v>
      </c>
      <c r="E329" s="78" t="s">
        <v>84</v>
      </c>
      <c r="F329" s="130" t="s">
        <v>325</v>
      </c>
      <c r="G329" s="78"/>
      <c r="H329" s="138" t="s">
        <v>1243</v>
      </c>
      <c r="I329" s="78" t="s">
        <v>568</v>
      </c>
      <c r="J329" s="148"/>
      <c r="K329" s="131">
        <v>20000</v>
      </c>
      <c r="L329" s="131"/>
      <c r="M329" s="131">
        <v>20000</v>
      </c>
      <c r="N329" s="149"/>
      <c r="O329" s="150"/>
      <c r="P329" s="150"/>
      <c r="Q329" s="151">
        <v>20000</v>
      </c>
      <c r="R329" s="152"/>
      <c r="S329" s="131">
        <v>20000</v>
      </c>
      <c r="T329" s="131">
        <v>10000</v>
      </c>
      <c r="U329" s="131"/>
      <c r="V329" s="153"/>
      <c r="W329" s="55"/>
      <c r="X329" s="55"/>
      <c r="Y329" s="55"/>
      <c r="Z329" s="55"/>
      <c r="AA329" s="154"/>
    </row>
    <row r="330" spans="1:32" s="120" customFormat="1" ht="40.200000000000003" customHeight="1">
      <c r="A330" s="70">
        <f>MAX(A$14:$A329)+1</f>
        <v>305</v>
      </c>
      <c r="B330" s="162" t="s">
        <v>1244</v>
      </c>
      <c r="C330" s="129" t="s">
        <v>1207</v>
      </c>
      <c r="D330" s="78" t="s">
        <v>84</v>
      </c>
      <c r="E330" s="78" t="s">
        <v>84</v>
      </c>
      <c r="F330" s="130" t="s">
        <v>335</v>
      </c>
      <c r="G330" s="78" t="s">
        <v>1245</v>
      </c>
      <c r="H330" s="138" t="s">
        <v>1246</v>
      </c>
      <c r="I330" s="78" t="s">
        <v>1247</v>
      </c>
      <c r="J330" s="148"/>
      <c r="K330" s="131">
        <v>24000</v>
      </c>
      <c r="L330" s="131"/>
      <c r="M330" s="131">
        <v>24000</v>
      </c>
      <c r="N330" s="149"/>
      <c r="O330" s="150"/>
      <c r="P330" s="150"/>
      <c r="Q330" s="151"/>
      <c r="R330" s="152"/>
      <c r="S330" s="131">
        <f>M330*0.9</f>
        <v>21600</v>
      </c>
      <c r="T330" s="131"/>
      <c r="U330" s="131"/>
      <c r="V330" s="153"/>
      <c r="W330" s="55"/>
      <c r="X330" s="55"/>
      <c r="Y330" s="55"/>
      <c r="Z330" s="55"/>
      <c r="AA330" s="154"/>
    </row>
    <row r="331" spans="1:32" s="120" customFormat="1" ht="40.200000000000003" customHeight="1">
      <c r="A331" s="70">
        <f>MAX(A$14:$A330)+1</f>
        <v>306</v>
      </c>
      <c r="B331" s="162" t="s">
        <v>1248</v>
      </c>
      <c r="C331" s="129" t="s">
        <v>524</v>
      </c>
      <c r="D331" s="78" t="s">
        <v>84</v>
      </c>
      <c r="E331" s="78" t="s">
        <v>84</v>
      </c>
      <c r="F331" s="130" t="s">
        <v>324</v>
      </c>
      <c r="G331" s="78" t="s">
        <v>1249</v>
      </c>
      <c r="H331" s="138" t="s">
        <v>1250</v>
      </c>
      <c r="I331" s="78" t="s">
        <v>607</v>
      </c>
      <c r="J331" s="148"/>
      <c r="K331" s="131">
        <v>14900</v>
      </c>
      <c r="L331" s="131"/>
      <c r="M331" s="131">
        <v>14900</v>
      </c>
      <c r="N331" s="149"/>
      <c r="O331" s="150"/>
      <c r="P331" s="150"/>
      <c r="Q331" s="151">
        <v>14900</v>
      </c>
      <c r="R331" s="152"/>
      <c r="S331" s="131">
        <v>14900</v>
      </c>
      <c r="T331" s="131">
        <v>4000</v>
      </c>
      <c r="U331" s="131"/>
      <c r="V331" s="153"/>
      <c r="W331" s="55"/>
      <c r="X331" s="55"/>
      <c r="Y331" s="55"/>
      <c r="Z331" s="55"/>
      <c r="AA331" s="154"/>
    </row>
    <row r="332" spans="1:32" s="120" customFormat="1" ht="40.200000000000003" customHeight="1">
      <c r="A332" s="70">
        <f>MAX(A$14:$A331)+1</f>
        <v>307</v>
      </c>
      <c r="B332" s="134" t="s">
        <v>1251</v>
      </c>
      <c r="C332" s="129" t="s">
        <v>524</v>
      </c>
      <c r="D332" s="78" t="s">
        <v>84</v>
      </c>
      <c r="E332" s="78" t="s">
        <v>84</v>
      </c>
      <c r="F332" s="130" t="s">
        <v>324</v>
      </c>
      <c r="G332" s="78"/>
      <c r="H332" s="138" t="s">
        <v>1252</v>
      </c>
      <c r="I332" s="78" t="s">
        <v>607</v>
      </c>
      <c r="J332" s="148"/>
      <c r="K332" s="131">
        <v>14900</v>
      </c>
      <c r="L332" s="131"/>
      <c r="M332" s="131">
        <v>14900</v>
      </c>
      <c r="N332" s="149"/>
      <c r="O332" s="150"/>
      <c r="P332" s="150"/>
      <c r="Q332" s="151">
        <v>14900</v>
      </c>
      <c r="R332" s="152"/>
      <c r="S332" s="131">
        <v>14900</v>
      </c>
      <c r="T332" s="131">
        <v>4000</v>
      </c>
      <c r="U332" s="131"/>
      <c r="V332" s="153"/>
      <c r="W332" s="55"/>
      <c r="X332" s="55"/>
      <c r="Y332" s="55"/>
      <c r="Z332" s="55"/>
      <c r="AA332" s="154"/>
    </row>
    <row r="333" spans="1:32" s="121" customFormat="1" ht="32.25" customHeight="1">
      <c r="A333" s="65" t="s">
        <v>531</v>
      </c>
      <c r="B333" s="66" t="s">
        <v>556</v>
      </c>
      <c r="C333" s="116"/>
      <c r="D333" s="116"/>
      <c r="E333" s="116"/>
      <c r="F333" s="116"/>
      <c r="G333" s="116"/>
      <c r="H333" s="116"/>
      <c r="I333" s="116"/>
      <c r="J333" s="116"/>
      <c r="K333" s="172">
        <f>SUM(K334:K356)</f>
        <v>680800</v>
      </c>
      <c r="L333" s="172">
        <f t="shared" ref="L333:T333" si="24">SUM(L334:L356)</f>
        <v>0</v>
      </c>
      <c r="M333" s="172">
        <f t="shared" si="24"/>
        <v>680800</v>
      </c>
      <c r="N333" s="172">
        <f t="shared" si="24"/>
        <v>3000</v>
      </c>
      <c r="O333" s="172">
        <f t="shared" si="24"/>
        <v>0</v>
      </c>
      <c r="P333" s="172">
        <f t="shared" si="24"/>
        <v>0</v>
      </c>
      <c r="Q333" s="172">
        <f t="shared" si="24"/>
        <v>180000</v>
      </c>
      <c r="R333" s="172">
        <f t="shared" si="24"/>
        <v>0</v>
      </c>
      <c r="S333" s="172">
        <f t="shared" si="24"/>
        <v>660800</v>
      </c>
      <c r="T333" s="172">
        <f t="shared" si="24"/>
        <v>17950</v>
      </c>
      <c r="U333" s="172">
        <f>SUM(U334:U356)</f>
        <v>17950</v>
      </c>
      <c r="V333" s="173"/>
      <c r="W333" s="55"/>
      <c r="X333" s="55"/>
      <c r="Y333" s="55"/>
      <c r="Z333" s="55"/>
      <c r="AA333" s="169">
        <f>S333/K333</f>
        <v>0.97062279670975327</v>
      </c>
      <c r="AB333" s="120"/>
      <c r="AC333" s="120"/>
      <c r="AD333" s="120"/>
      <c r="AE333" s="120"/>
      <c r="AF333" s="120"/>
    </row>
    <row r="334" spans="1:32" s="120" customFormat="1" ht="40.200000000000003" customHeight="1">
      <c r="A334" s="70">
        <f>MAX(A$14:$A333)+1</f>
        <v>308</v>
      </c>
      <c r="B334" s="134" t="s">
        <v>1253</v>
      </c>
      <c r="C334" s="129" t="s">
        <v>632</v>
      </c>
      <c r="D334" s="78" t="s">
        <v>84</v>
      </c>
      <c r="E334" s="78" t="s">
        <v>84</v>
      </c>
      <c r="F334" s="130" t="s">
        <v>340</v>
      </c>
      <c r="G334" s="78" t="s">
        <v>1254</v>
      </c>
      <c r="H334" s="138" t="s">
        <v>1255</v>
      </c>
      <c r="I334" s="78" t="s">
        <v>568</v>
      </c>
      <c r="J334" s="148"/>
      <c r="K334" s="131">
        <v>3000</v>
      </c>
      <c r="L334" s="131"/>
      <c r="M334" s="131">
        <v>3000</v>
      </c>
      <c r="N334" s="149">
        <v>3000</v>
      </c>
      <c r="O334" s="150"/>
      <c r="P334" s="150"/>
      <c r="Q334" s="151"/>
      <c r="R334" s="152"/>
      <c r="S334" s="131">
        <v>3000</v>
      </c>
      <c r="T334" s="131">
        <v>3000</v>
      </c>
      <c r="U334" s="131">
        <v>3000</v>
      </c>
      <c r="V334" s="153"/>
      <c r="W334" s="55"/>
      <c r="X334" s="55"/>
      <c r="Y334" s="55"/>
      <c r="Z334" s="55"/>
      <c r="AA334" s="154"/>
    </row>
    <row r="335" spans="1:32" s="120" customFormat="1" ht="40.200000000000003" customHeight="1">
      <c r="A335" s="70">
        <f>MAX(A$14:$A334)+1</f>
        <v>309</v>
      </c>
      <c r="B335" s="134" t="s">
        <v>1256</v>
      </c>
      <c r="C335" s="129" t="s">
        <v>632</v>
      </c>
      <c r="D335" s="78" t="s">
        <v>84</v>
      </c>
      <c r="E335" s="78" t="s">
        <v>84</v>
      </c>
      <c r="F335" s="130" t="s">
        <v>352</v>
      </c>
      <c r="G335" s="78" t="s">
        <v>1257</v>
      </c>
      <c r="H335" s="138" t="s">
        <v>1258</v>
      </c>
      <c r="I335" s="78" t="s">
        <v>612</v>
      </c>
      <c r="J335" s="148"/>
      <c r="K335" s="131">
        <v>40000</v>
      </c>
      <c r="L335" s="131"/>
      <c r="M335" s="131">
        <f>K335</f>
        <v>40000</v>
      </c>
      <c r="N335" s="149"/>
      <c r="O335" s="150"/>
      <c r="P335" s="150"/>
      <c r="Q335" s="151"/>
      <c r="R335" s="152"/>
      <c r="S335" s="131">
        <v>40000</v>
      </c>
      <c r="T335" s="131"/>
      <c r="U335" s="131"/>
      <c r="V335" s="153"/>
      <c r="W335" s="55"/>
      <c r="X335" s="55"/>
      <c r="Y335" s="55"/>
      <c r="Z335" s="55"/>
      <c r="AA335" s="154"/>
    </row>
    <row r="336" spans="1:32" s="120" customFormat="1" ht="40.200000000000003" customHeight="1">
      <c r="A336" s="70">
        <f>MAX(A$14:$A335)+1</f>
        <v>310</v>
      </c>
      <c r="B336" s="134" t="s">
        <v>1259</v>
      </c>
      <c r="C336" s="129" t="s">
        <v>632</v>
      </c>
      <c r="D336" s="78"/>
      <c r="E336" s="78"/>
      <c r="F336" s="130" t="s">
        <v>353</v>
      </c>
      <c r="G336" s="78" t="s">
        <v>1260</v>
      </c>
      <c r="H336" s="138" t="s">
        <v>1258</v>
      </c>
      <c r="I336" s="78" t="s">
        <v>612</v>
      </c>
      <c r="J336" s="148"/>
      <c r="K336" s="131">
        <v>14000</v>
      </c>
      <c r="L336" s="131"/>
      <c r="M336" s="131">
        <f>K336</f>
        <v>14000</v>
      </c>
      <c r="N336" s="149"/>
      <c r="O336" s="150"/>
      <c r="P336" s="150"/>
      <c r="Q336" s="151"/>
      <c r="R336" s="152"/>
      <c r="S336" s="131">
        <v>14000</v>
      </c>
      <c r="T336" s="131"/>
      <c r="U336" s="131"/>
      <c r="V336" s="153"/>
      <c r="W336" s="55"/>
      <c r="X336" s="55"/>
      <c r="Y336" s="55"/>
      <c r="Z336" s="55"/>
      <c r="AA336" s="154"/>
    </row>
    <row r="337" spans="1:27" s="120" customFormat="1" ht="40.200000000000003" customHeight="1">
      <c r="A337" s="70">
        <f>MAX(A$14:$A336)+1</f>
        <v>311</v>
      </c>
      <c r="B337" s="134" t="s">
        <v>1261</v>
      </c>
      <c r="C337" s="129" t="s">
        <v>632</v>
      </c>
      <c r="D337" s="78" t="s">
        <v>84</v>
      </c>
      <c r="E337" s="78"/>
      <c r="F337" s="130" t="s">
        <v>342</v>
      </c>
      <c r="G337" s="78" t="s">
        <v>1262</v>
      </c>
      <c r="H337" s="138" t="s">
        <v>1263</v>
      </c>
      <c r="I337" s="78" t="s">
        <v>612</v>
      </c>
      <c r="J337" s="148"/>
      <c r="K337" s="131">
        <f>L337+M337</f>
        <v>15000</v>
      </c>
      <c r="L337" s="131"/>
      <c r="M337" s="131">
        <v>15000</v>
      </c>
      <c r="N337" s="149"/>
      <c r="O337" s="150"/>
      <c r="P337" s="150"/>
      <c r="Q337" s="151"/>
      <c r="R337" s="152"/>
      <c r="S337" s="131">
        <v>15000</v>
      </c>
      <c r="T337" s="131"/>
      <c r="U337" s="131"/>
      <c r="V337" s="153"/>
      <c r="W337" s="55"/>
      <c r="X337" s="55"/>
      <c r="Y337" s="55"/>
      <c r="Z337" s="55"/>
      <c r="AA337" s="154"/>
    </row>
    <row r="338" spans="1:27" s="120" customFormat="1" ht="40.200000000000003" customHeight="1">
      <c r="A338" s="70">
        <f>MAX(A$14:$A337)+1</f>
        <v>312</v>
      </c>
      <c r="B338" s="134" t="s">
        <v>1264</v>
      </c>
      <c r="C338" s="129" t="s">
        <v>632</v>
      </c>
      <c r="D338" s="78" t="s">
        <v>84</v>
      </c>
      <c r="E338" s="78" t="s">
        <v>84</v>
      </c>
      <c r="F338" s="130" t="s">
        <v>328</v>
      </c>
      <c r="G338" s="78"/>
      <c r="H338" s="138" t="s">
        <v>1265</v>
      </c>
      <c r="I338" s="78" t="s">
        <v>668</v>
      </c>
      <c r="J338" s="148"/>
      <c r="K338" s="131">
        <v>50000</v>
      </c>
      <c r="L338" s="131"/>
      <c r="M338" s="131">
        <f>K338</f>
        <v>50000</v>
      </c>
      <c r="N338" s="149"/>
      <c r="O338" s="150"/>
      <c r="P338" s="150"/>
      <c r="Q338" s="151"/>
      <c r="R338" s="152"/>
      <c r="S338" s="131">
        <v>50000</v>
      </c>
      <c r="T338" s="131"/>
      <c r="U338" s="131"/>
      <c r="V338" s="153"/>
      <c r="W338" s="55"/>
      <c r="X338" s="55"/>
      <c r="Y338" s="55"/>
      <c r="Z338" s="55"/>
      <c r="AA338" s="154"/>
    </row>
    <row r="339" spans="1:27" s="120" customFormat="1" ht="40.200000000000003" customHeight="1">
      <c r="A339" s="70">
        <f>MAX(A$14:$A338)+1</f>
        <v>313</v>
      </c>
      <c r="B339" s="134" t="s">
        <v>1266</v>
      </c>
      <c r="C339" s="129" t="s">
        <v>632</v>
      </c>
      <c r="D339" s="78" t="str">
        <f>IF(K339&gt;=45000,"B","C")</f>
        <v>B</v>
      </c>
      <c r="E339" s="78" t="str">
        <f>IF(L339&gt;=45000,"B","C")</f>
        <v>C</v>
      </c>
      <c r="F339" s="174" t="s">
        <v>604</v>
      </c>
      <c r="G339" s="78" t="s">
        <v>1052</v>
      </c>
      <c r="H339" s="138" t="s">
        <v>1267</v>
      </c>
      <c r="I339" s="78" t="s">
        <v>612</v>
      </c>
      <c r="J339" s="148"/>
      <c r="K339" s="131">
        <v>150000</v>
      </c>
      <c r="L339" s="131"/>
      <c r="M339" s="131">
        <v>150000</v>
      </c>
      <c r="N339" s="149"/>
      <c r="O339" s="150"/>
      <c r="P339" s="150"/>
      <c r="Q339" s="151">
        <v>135000</v>
      </c>
      <c r="R339" s="152">
        <f>L339*0.9</f>
        <v>0</v>
      </c>
      <c r="S339" s="131">
        <f>Q339-R339</f>
        <v>135000</v>
      </c>
      <c r="T339" s="131">
        <v>2000</v>
      </c>
      <c r="U339" s="131">
        <v>2000</v>
      </c>
      <c r="V339" s="153"/>
      <c r="W339" s="55"/>
      <c r="X339" s="55"/>
      <c r="Y339" s="55"/>
      <c r="Z339" s="55"/>
      <c r="AA339" s="154"/>
    </row>
    <row r="340" spans="1:27" s="120" customFormat="1" ht="40.200000000000003" customHeight="1">
      <c r="A340" s="70">
        <f>MAX(A$14:$A339)+1</f>
        <v>314</v>
      </c>
      <c r="B340" s="134" t="s">
        <v>1268</v>
      </c>
      <c r="C340" s="129" t="s">
        <v>632</v>
      </c>
      <c r="D340" s="78" t="str">
        <f>IF(K340&gt;=45000,"B","C")</f>
        <v>B</v>
      </c>
      <c r="E340" s="78" t="s">
        <v>84</v>
      </c>
      <c r="F340" s="174" t="s">
        <v>1269</v>
      </c>
      <c r="G340" s="78"/>
      <c r="H340" s="138" t="s">
        <v>1270</v>
      </c>
      <c r="I340" s="78" t="s">
        <v>568</v>
      </c>
      <c r="J340" s="148"/>
      <c r="K340" s="131">
        <v>50000</v>
      </c>
      <c r="L340" s="131"/>
      <c r="M340" s="131">
        <v>50000</v>
      </c>
      <c r="N340" s="149"/>
      <c r="O340" s="150"/>
      <c r="P340" s="150"/>
      <c r="Q340" s="151">
        <v>45000</v>
      </c>
      <c r="R340" s="152">
        <f>L340*0.9</f>
        <v>0</v>
      </c>
      <c r="S340" s="131">
        <f>Q340-R340</f>
        <v>45000</v>
      </c>
      <c r="T340" s="131">
        <v>11000</v>
      </c>
      <c r="U340" s="131">
        <v>11000</v>
      </c>
      <c r="V340" s="153"/>
      <c r="W340" s="55"/>
      <c r="X340" s="55"/>
      <c r="Y340" s="55"/>
      <c r="Z340" s="55"/>
      <c r="AA340" s="154"/>
    </row>
    <row r="341" spans="1:27" s="120" customFormat="1" ht="49.65" customHeight="1">
      <c r="A341" s="70">
        <f>MAX(A$14:$A340)+1</f>
        <v>315</v>
      </c>
      <c r="B341" s="134" t="s">
        <v>1271</v>
      </c>
      <c r="C341" s="129" t="s">
        <v>1272</v>
      </c>
      <c r="D341" s="78"/>
      <c r="E341" s="78" t="s">
        <v>84</v>
      </c>
      <c r="F341" s="130" t="s">
        <v>1273</v>
      </c>
      <c r="G341" s="78"/>
      <c r="H341" s="138" t="s">
        <v>1274</v>
      </c>
      <c r="I341" s="78" t="s">
        <v>568</v>
      </c>
      <c r="J341" s="148"/>
      <c r="K341" s="131">
        <v>6300</v>
      </c>
      <c r="L341" s="131"/>
      <c r="M341" s="131">
        <v>6300</v>
      </c>
      <c r="N341" s="149"/>
      <c r="O341" s="150"/>
      <c r="P341" s="150"/>
      <c r="Q341" s="151"/>
      <c r="R341" s="152"/>
      <c r="S341" s="131">
        <v>6300</v>
      </c>
      <c r="T341" s="131"/>
      <c r="U341" s="131"/>
      <c r="V341" s="153"/>
      <c r="W341" s="55"/>
      <c r="X341" s="55"/>
      <c r="Y341" s="55"/>
      <c r="Z341" s="55"/>
      <c r="AA341" s="154"/>
    </row>
    <row r="342" spans="1:27" s="120" customFormat="1" ht="50.25" customHeight="1">
      <c r="A342" s="70">
        <f>MAX(A$14:$A341)+1</f>
        <v>316</v>
      </c>
      <c r="B342" s="134" t="s">
        <v>1275</v>
      </c>
      <c r="C342" s="129" t="s">
        <v>1272</v>
      </c>
      <c r="D342" s="78"/>
      <c r="E342" s="78" t="s">
        <v>84</v>
      </c>
      <c r="F342" s="130" t="s">
        <v>1276</v>
      </c>
      <c r="G342" s="78"/>
      <c r="H342" s="138" t="s">
        <v>1277</v>
      </c>
      <c r="I342" s="78" t="s">
        <v>568</v>
      </c>
      <c r="J342" s="148"/>
      <c r="K342" s="131">
        <v>7500</v>
      </c>
      <c r="L342" s="131"/>
      <c r="M342" s="131">
        <v>7500</v>
      </c>
      <c r="N342" s="149"/>
      <c r="O342" s="150"/>
      <c r="P342" s="150"/>
      <c r="Q342" s="151"/>
      <c r="R342" s="152"/>
      <c r="S342" s="131">
        <v>7500</v>
      </c>
      <c r="T342" s="131"/>
      <c r="U342" s="131"/>
      <c r="V342" s="153"/>
      <c r="W342" s="55"/>
      <c r="X342" s="55"/>
      <c r="Y342" s="55"/>
      <c r="Z342" s="55"/>
      <c r="AA342" s="154"/>
    </row>
    <row r="343" spans="1:27" s="120" customFormat="1" ht="40.200000000000003" customHeight="1">
      <c r="A343" s="70">
        <f>MAX(A$14:$A342)+1</f>
        <v>317</v>
      </c>
      <c r="B343" s="134" t="s">
        <v>1278</v>
      </c>
      <c r="C343" s="129" t="s">
        <v>280</v>
      </c>
      <c r="D343" s="78" t="s">
        <v>84</v>
      </c>
      <c r="E343" s="78" t="s">
        <v>84</v>
      </c>
      <c r="F343" s="130" t="s">
        <v>311</v>
      </c>
      <c r="G343" s="78" t="s">
        <v>1279</v>
      </c>
      <c r="H343" s="138" t="s">
        <v>1280</v>
      </c>
      <c r="I343" s="78"/>
      <c r="J343" s="148"/>
      <c r="K343" s="131">
        <f>M343</f>
        <v>25000</v>
      </c>
      <c r="L343" s="131"/>
      <c r="M343" s="131">
        <v>25000</v>
      </c>
      <c r="N343" s="149"/>
      <c r="O343" s="150"/>
      <c r="P343" s="150"/>
      <c r="Q343" s="151"/>
      <c r="R343" s="152"/>
      <c r="S343" s="131">
        <v>25000</v>
      </c>
      <c r="T343" s="131">
        <v>200</v>
      </c>
      <c r="U343" s="131">
        <v>200</v>
      </c>
      <c r="V343" s="153"/>
      <c r="W343" s="55"/>
      <c r="X343" s="55"/>
      <c r="Y343" s="55"/>
      <c r="Z343" s="55"/>
      <c r="AA343" s="154"/>
    </row>
    <row r="344" spans="1:27" s="120" customFormat="1" ht="40.200000000000003" customHeight="1">
      <c r="A344" s="70">
        <f>MAX(A$14:$A343)+1</f>
        <v>318</v>
      </c>
      <c r="B344" s="134" t="s">
        <v>1281</v>
      </c>
      <c r="C344" s="129" t="s">
        <v>280</v>
      </c>
      <c r="D344" s="78" t="s">
        <v>84</v>
      </c>
      <c r="E344" s="78" t="s">
        <v>84</v>
      </c>
      <c r="F344" s="130" t="s">
        <v>1282</v>
      </c>
      <c r="G344" s="78" t="s">
        <v>1283</v>
      </c>
      <c r="H344" s="138" t="s">
        <v>560</v>
      </c>
      <c r="I344" s="78" t="s">
        <v>568</v>
      </c>
      <c r="J344" s="148"/>
      <c r="K344" s="131">
        <f t="shared" ref="K344:K356" si="25">L344+M344</f>
        <v>17000</v>
      </c>
      <c r="L344" s="131"/>
      <c r="M344" s="131">
        <v>17000</v>
      </c>
      <c r="N344" s="149"/>
      <c r="O344" s="150"/>
      <c r="P344" s="150"/>
      <c r="Q344" s="151"/>
      <c r="R344" s="152"/>
      <c r="S344" s="131">
        <f t="shared" ref="S344:S356" si="26">K344</f>
        <v>17000</v>
      </c>
      <c r="T344" s="131">
        <v>150</v>
      </c>
      <c r="U344" s="131">
        <v>150</v>
      </c>
      <c r="V344" s="153" t="s">
        <v>1284</v>
      </c>
      <c r="W344" s="55"/>
      <c r="X344" s="55"/>
      <c r="Y344" s="55"/>
      <c r="Z344" s="55"/>
      <c r="AA344" s="154"/>
    </row>
    <row r="345" spans="1:27" s="120" customFormat="1" ht="40.200000000000003" customHeight="1">
      <c r="A345" s="70">
        <f>MAX(A$14:$A344)+1</f>
        <v>319</v>
      </c>
      <c r="B345" s="134" t="s">
        <v>1285</v>
      </c>
      <c r="C345" s="129" t="s">
        <v>280</v>
      </c>
      <c r="D345" s="78" t="s">
        <v>84</v>
      </c>
      <c r="E345" s="78" t="s">
        <v>84</v>
      </c>
      <c r="F345" s="130" t="s">
        <v>329</v>
      </c>
      <c r="G345" s="78" t="s">
        <v>1283</v>
      </c>
      <c r="H345" s="138" t="s">
        <v>1286</v>
      </c>
      <c r="I345" s="78" t="s">
        <v>612</v>
      </c>
      <c r="J345" s="148"/>
      <c r="K345" s="131">
        <f t="shared" si="25"/>
        <v>30000</v>
      </c>
      <c r="L345" s="131"/>
      <c r="M345" s="131">
        <v>30000</v>
      </c>
      <c r="N345" s="149"/>
      <c r="O345" s="150"/>
      <c r="P345" s="150"/>
      <c r="Q345" s="151"/>
      <c r="R345" s="152"/>
      <c r="S345" s="131">
        <f t="shared" si="26"/>
        <v>30000</v>
      </c>
      <c r="T345" s="131">
        <v>200</v>
      </c>
      <c r="U345" s="131">
        <v>200</v>
      </c>
      <c r="V345" s="153" t="s">
        <v>1284</v>
      </c>
      <c r="W345" s="55"/>
      <c r="X345" s="55"/>
      <c r="Y345" s="55"/>
      <c r="Z345" s="55"/>
      <c r="AA345" s="154"/>
    </row>
    <row r="346" spans="1:27" s="120" customFormat="1" ht="40.200000000000003" customHeight="1">
      <c r="A346" s="70">
        <f>MAX(A$14:$A345)+1</f>
        <v>320</v>
      </c>
      <c r="B346" s="134" t="s">
        <v>1287</v>
      </c>
      <c r="C346" s="129" t="s">
        <v>280</v>
      </c>
      <c r="D346" s="78" t="s">
        <v>84</v>
      </c>
      <c r="E346" s="78" t="s">
        <v>84</v>
      </c>
      <c r="F346" s="130" t="s">
        <v>322</v>
      </c>
      <c r="G346" s="78" t="s">
        <v>1283</v>
      </c>
      <c r="H346" s="138" t="s">
        <v>1288</v>
      </c>
      <c r="I346" s="78" t="s">
        <v>612</v>
      </c>
      <c r="J346" s="148"/>
      <c r="K346" s="131">
        <f t="shared" si="25"/>
        <v>8000</v>
      </c>
      <c r="L346" s="131"/>
      <c r="M346" s="131">
        <v>8000</v>
      </c>
      <c r="N346" s="149"/>
      <c r="O346" s="150"/>
      <c r="P346" s="150"/>
      <c r="Q346" s="151"/>
      <c r="R346" s="152"/>
      <c r="S346" s="131">
        <f t="shared" si="26"/>
        <v>8000</v>
      </c>
      <c r="T346" s="131">
        <v>150</v>
      </c>
      <c r="U346" s="131">
        <v>150</v>
      </c>
      <c r="V346" s="153" t="s">
        <v>1284</v>
      </c>
      <c r="W346" s="55"/>
      <c r="X346" s="55"/>
      <c r="Y346" s="55"/>
      <c r="Z346" s="55"/>
      <c r="AA346" s="154"/>
    </row>
    <row r="347" spans="1:27" s="120" customFormat="1" ht="40.200000000000003" customHeight="1">
      <c r="A347" s="70">
        <f>MAX(A$14:$A346)+1</f>
        <v>321</v>
      </c>
      <c r="B347" s="134" t="s">
        <v>1289</v>
      </c>
      <c r="C347" s="129" t="s">
        <v>280</v>
      </c>
      <c r="D347" s="78" t="s">
        <v>84</v>
      </c>
      <c r="E347" s="78" t="s">
        <v>84</v>
      </c>
      <c r="F347" s="130" t="s">
        <v>322</v>
      </c>
      <c r="G347" s="78" t="s">
        <v>1283</v>
      </c>
      <c r="H347" s="138" t="s">
        <v>1288</v>
      </c>
      <c r="I347" s="78" t="s">
        <v>612</v>
      </c>
      <c r="J347" s="148"/>
      <c r="K347" s="131">
        <f t="shared" si="25"/>
        <v>30000</v>
      </c>
      <c r="L347" s="131"/>
      <c r="M347" s="131">
        <v>30000</v>
      </c>
      <c r="N347" s="149"/>
      <c r="O347" s="150"/>
      <c r="P347" s="150"/>
      <c r="Q347" s="151"/>
      <c r="R347" s="152"/>
      <c r="S347" s="131">
        <f t="shared" si="26"/>
        <v>30000</v>
      </c>
      <c r="T347" s="131">
        <v>200</v>
      </c>
      <c r="U347" s="131">
        <v>200</v>
      </c>
      <c r="V347" s="153" t="s">
        <v>1284</v>
      </c>
      <c r="W347" s="55"/>
      <c r="X347" s="55"/>
      <c r="Y347" s="55"/>
      <c r="Z347" s="55"/>
      <c r="AA347" s="154"/>
    </row>
    <row r="348" spans="1:27" s="120" customFormat="1" ht="40.200000000000003" customHeight="1">
      <c r="A348" s="70">
        <f>MAX(A$14:$A347)+1</f>
        <v>322</v>
      </c>
      <c r="B348" s="134" t="s">
        <v>1290</v>
      </c>
      <c r="C348" s="129" t="s">
        <v>280</v>
      </c>
      <c r="D348" s="78" t="s">
        <v>84</v>
      </c>
      <c r="E348" s="78" t="s">
        <v>84</v>
      </c>
      <c r="F348" s="130" t="s">
        <v>323</v>
      </c>
      <c r="G348" s="78" t="s">
        <v>1283</v>
      </c>
      <c r="H348" s="138" t="s">
        <v>1288</v>
      </c>
      <c r="I348" s="78" t="s">
        <v>612</v>
      </c>
      <c r="J348" s="148"/>
      <c r="K348" s="131">
        <f t="shared" si="25"/>
        <v>15000</v>
      </c>
      <c r="L348" s="131"/>
      <c r="M348" s="131">
        <v>15000</v>
      </c>
      <c r="N348" s="149"/>
      <c r="O348" s="150"/>
      <c r="P348" s="150"/>
      <c r="Q348" s="151"/>
      <c r="R348" s="152"/>
      <c r="S348" s="131">
        <f t="shared" si="26"/>
        <v>15000</v>
      </c>
      <c r="T348" s="131">
        <v>150</v>
      </c>
      <c r="U348" s="131">
        <v>150</v>
      </c>
      <c r="V348" s="153" t="s">
        <v>1284</v>
      </c>
      <c r="W348" s="55"/>
      <c r="X348" s="55"/>
      <c r="Y348" s="55"/>
      <c r="Z348" s="55"/>
      <c r="AA348" s="154"/>
    </row>
    <row r="349" spans="1:27" s="120" customFormat="1" ht="40.200000000000003" customHeight="1">
      <c r="A349" s="70">
        <f>MAX(A$14:$A348)+1</f>
        <v>323</v>
      </c>
      <c r="B349" s="134" t="s">
        <v>1291</v>
      </c>
      <c r="C349" s="129" t="s">
        <v>280</v>
      </c>
      <c r="D349" s="78" t="s">
        <v>84</v>
      </c>
      <c r="E349" s="78" t="s">
        <v>84</v>
      </c>
      <c r="F349" s="130" t="s">
        <v>337</v>
      </c>
      <c r="G349" s="78" t="s">
        <v>1283</v>
      </c>
      <c r="H349" s="138" t="s">
        <v>1286</v>
      </c>
      <c r="I349" s="78" t="s">
        <v>612</v>
      </c>
      <c r="J349" s="148"/>
      <c r="K349" s="131">
        <f t="shared" si="25"/>
        <v>15000</v>
      </c>
      <c r="L349" s="131"/>
      <c r="M349" s="131">
        <v>15000</v>
      </c>
      <c r="N349" s="149"/>
      <c r="O349" s="150"/>
      <c r="P349" s="150"/>
      <c r="Q349" s="151"/>
      <c r="R349" s="152"/>
      <c r="S349" s="131">
        <f t="shared" si="26"/>
        <v>15000</v>
      </c>
      <c r="T349" s="131">
        <v>150</v>
      </c>
      <c r="U349" s="131">
        <v>150</v>
      </c>
      <c r="V349" s="153" t="s">
        <v>1284</v>
      </c>
      <c r="W349" s="55"/>
      <c r="X349" s="55"/>
      <c r="Y349" s="55"/>
      <c r="Z349" s="55"/>
      <c r="AA349" s="154"/>
    </row>
    <row r="350" spans="1:27" s="120" customFormat="1" ht="40.200000000000003" customHeight="1">
      <c r="A350" s="70">
        <f>MAX(A$14:$A349)+1</f>
        <v>324</v>
      </c>
      <c r="B350" s="134" t="s">
        <v>1292</v>
      </c>
      <c r="C350" s="129" t="s">
        <v>280</v>
      </c>
      <c r="D350" s="78" t="s">
        <v>84</v>
      </c>
      <c r="E350" s="78" t="s">
        <v>84</v>
      </c>
      <c r="F350" s="130" t="s">
        <v>354</v>
      </c>
      <c r="G350" s="78" t="s">
        <v>1283</v>
      </c>
      <c r="H350" s="138" t="s">
        <v>1286</v>
      </c>
      <c r="I350" s="78" t="s">
        <v>612</v>
      </c>
      <c r="J350" s="148"/>
      <c r="K350" s="131">
        <f t="shared" si="25"/>
        <v>13000</v>
      </c>
      <c r="L350" s="131"/>
      <c r="M350" s="131">
        <v>13000</v>
      </c>
      <c r="N350" s="149"/>
      <c r="O350" s="150"/>
      <c r="P350" s="150"/>
      <c r="Q350" s="151"/>
      <c r="R350" s="152"/>
      <c r="S350" s="131">
        <f t="shared" si="26"/>
        <v>13000</v>
      </c>
      <c r="T350" s="131">
        <v>150</v>
      </c>
      <c r="U350" s="131">
        <v>150</v>
      </c>
      <c r="V350" s="153" t="s">
        <v>1284</v>
      </c>
      <c r="W350" s="55"/>
      <c r="X350" s="55"/>
      <c r="Y350" s="55"/>
      <c r="Z350" s="55"/>
      <c r="AA350" s="154"/>
    </row>
    <row r="351" spans="1:27" s="120" customFormat="1" ht="40.200000000000003" customHeight="1">
      <c r="A351" s="70">
        <f>MAX(A$14:$A350)+1</f>
        <v>325</v>
      </c>
      <c r="B351" s="134" t="s">
        <v>1293</v>
      </c>
      <c r="C351" s="129" t="s">
        <v>280</v>
      </c>
      <c r="D351" s="78" t="s">
        <v>84</v>
      </c>
      <c r="E351" s="78" t="s">
        <v>84</v>
      </c>
      <c r="F351" s="130" t="s">
        <v>1294</v>
      </c>
      <c r="G351" s="78" t="s">
        <v>1283</v>
      </c>
      <c r="H351" s="138" t="s">
        <v>1288</v>
      </c>
      <c r="I351" s="78" t="s">
        <v>612</v>
      </c>
      <c r="J351" s="148"/>
      <c r="K351" s="131">
        <f t="shared" si="25"/>
        <v>7000</v>
      </c>
      <c r="L351" s="131"/>
      <c r="M351" s="131">
        <v>7000</v>
      </c>
      <c r="N351" s="149"/>
      <c r="O351" s="150"/>
      <c r="P351" s="150"/>
      <c r="Q351" s="151"/>
      <c r="R351" s="152"/>
      <c r="S351" s="131">
        <f t="shared" si="26"/>
        <v>7000</v>
      </c>
      <c r="T351" s="131">
        <v>100</v>
      </c>
      <c r="U351" s="131">
        <v>100</v>
      </c>
      <c r="V351" s="153" t="s">
        <v>1284</v>
      </c>
      <c r="W351" s="55"/>
      <c r="X351" s="55"/>
      <c r="Y351" s="55"/>
      <c r="Z351" s="55"/>
      <c r="AA351" s="154"/>
    </row>
    <row r="352" spans="1:27" s="120" customFormat="1" ht="40.200000000000003" customHeight="1">
      <c r="A352" s="70">
        <f>MAX(A$14:$A351)+1</f>
        <v>326</v>
      </c>
      <c r="B352" s="134" t="s">
        <v>1295</v>
      </c>
      <c r="C352" s="129" t="s">
        <v>280</v>
      </c>
      <c r="D352" s="78" t="s">
        <v>84</v>
      </c>
      <c r="E352" s="78" t="s">
        <v>84</v>
      </c>
      <c r="F352" s="130" t="s">
        <v>1296</v>
      </c>
      <c r="G352" s="78" t="s">
        <v>1283</v>
      </c>
      <c r="H352" s="138" t="s">
        <v>1297</v>
      </c>
      <c r="I352" s="78" t="s">
        <v>668</v>
      </c>
      <c r="J352" s="148"/>
      <c r="K352" s="131">
        <f t="shared" si="25"/>
        <v>50000</v>
      </c>
      <c r="L352" s="131"/>
      <c r="M352" s="131">
        <v>50000</v>
      </c>
      <c r="N352" s="149"/>
      <c r="O352" s="150"/>
      <c r="P352" s="150"/>
      <c r="Q352" s="151"/>
      <c r="R352" s="152"/>
      <c r="S352" s="131">
        <f t="shared" si="26"/>
        <v>50000</v>
      </c>
      <c r="T352" s="131">
        <v>200</v>
      </c>
      <c r="U352" s="131">
        <v>200</v>
      </c>
      <c r="V352" s="153" t="s">
        <v>1284</v>
      </c>
      <c r="W352" s="55"/>
      <c r="X352" s="55"/>
      <c r="Y352" s="55"/>
      <c r="Z352" s="55"/>
      <c r="AA352" s="154"/>
    </row>
    <row r="353" spans="1:32" s="120" customFormat="1" ht="40.200000000000003" customHeight="1">
      <c r="A353" s="70">
        <f>MAX(A$14:$A352)+1</f>
        <v>327</v>
      </c>
      <c r="B353" s="134" t="s">
        <v>1298</v>
      </c>
      <c r="C353" s="129" t="s">
        <v>280</v>
      </c>
      <c r="D353" s="78" t="s">
        <v>84</v>
      </c>
      <c r="E353" s="78" t="s">
        <v>84</v>
      </c>
      <c r="F353" s="130" t="s">
        <v>1299</v>
      </c>
      <c r="G353" s="78" t="s">
        <v>1300</v>
      </c>
      <c r="H353" s="138" t="s">
        <v>1301</v>
      </c>
      <c r="I353" s="78" t="s">
        <v>568</v>
      </c>
      <c r="J353" s="148"/>
      <c r="K353" s="131">
        <f>M353</f>
        <v>40000</v>
      </c>
      <c r="L353" s="131"/>
      <c r="M353" s="131">
        <v>40000</v>
      </c>
      <c r="N353" s="149"/>
      <c r="O353" s="150"/>
      <c r="P353" s="150"/>
      <c r="Q353" s="151"/>
      <c r="R353" s="152"/>
      <c r="S353" s="131">
        <f t="shared" si="26"/>
        <v>40000</v>
      </c>
      <c r="T353" s="131"/>
      <c r="U353" s="131"/>
      <c r="V353" s="153"/>
      <c r="W353" s="55"/>
      <c r="X353" s="55"/>
      <c r="Y353" s="55"/>
      <c r="Z353" s="55"/>
      <c r="AA353" s="154"/>
    </row>
    <row r="354" spans="1:32" s="120" customFormat="1" ht="40.200000000000003" customHeight="1">
      <c r="A354" s="70">
        <f>MAX(A$14:$A353)+1</f>
        <v>328</v>
      </c>
      <c r="B354" s="134" t="s">
        <v>1302</v>
      </c>
      <c r="C354" s="129" t="s">
        <v>280</v>
      </c>
      <c r="D354" s="78" t="s">
        <v>84</v>
      </c>
      <c r="E354" s="78" t="s">
        <v>84</v>
      </c>
      <c r="F354" s="130" t="s">
        <v>1299</v>
      </c>
      <c r="G354" s="78" t="s">
        <v>1300</v>
      </c>
      <c r="H354" s="138" t="s">
        <v>1303</v>
      </c>
      <c r="I354" s="78" t="s">
        <v>568</v>
      </c>
      <c r="J354" s="148"/>
      <c r="K354" s="131">
        <f>M354</f>
        <v>25000</v>
      </c>
      <c r="L354" s="131"/>
      <c r="M354" s="131">
        <v>25000</v>
      </c>
      <c r="N354" s="149"/>
      <c r="O354" s="150"/>
      <c r="P354" s="150"/>
      <c r="Q354" s="151"/>
      <c r="R354" s="152"/>
      <c r="S354" s="131">
        <f t="shared" si="26"/>
        <v>25000</v>
      </c>
      <c r="T354" s="131"/>
      <c r="U354" s="131"/>
      <c r="V354" s="153"/>
      <c r="W354" s="55"/>
      <c r="X354" s="55"/>
      <c r="Y354" s="55"/>
      <c r="Z354" s="55"/>
      <c r="AA354" s="154"/>
    </row>
    <row r="355" spans="1:32" s="120" customFormat="1" ht="40.200000000000003" customHeight="1">
      <c r="A355" s="70">
        <f>MAX(A$14:$A354)+1</f>
        <v>329</v>
      </c>
      <c r="B355" s="134" t="s">
        <v>1304</v>
      </c>
      <c r="C355" s="129" t="s">
        <v>280</v>
      </c>
      <c r="D355" s="78" t="s">
        <v>84</v>
      </c>
      <c r="E355" s="78" t="s">
        <v>84</v>
      </c>
      <c r="F355" s="130" t="s">
        <v>1305</v>
      </c>
      <c r="G355" s="78" t="s">
        <v>1306</v>
      </c>
      <c r="H355" s="138" t="s">
        <v>1307</v>
      </c>
      <c r="I355" s="78" t="s">
        <v>568</v>
      </c>
      <c r="J355" s="148"/>
      <c r="K355" s="131">
        <f>M355</f>
        <v>40000</v>
      </c>
      <c r="L355" s="131"/>
      <c r="M355" s="131">
        <v>40000</v>
      </c>
      <c r="N355" s="149"/>
      <c r="O355" s="150"/>
      <c r="P355" s="150"/>
      <c r="Q355" s="151"/>
      <c r="R355" s="152"/>
      <c r="S355" s="131">
        <v>40000</v>
      </c>
      <c r="T355" s="131">
        <v>100</v>
      </c>
      <c r="U355" s="131">
        <v>100</v>
      </c>
      <c r="V355" s="153" t="s">
        <v>1308</v>
      </c>
      <c r="W355" s="55"/>
      <c r="X355" s="55"/>
      <c r="Y355" s="55"/>
      <c r="Z355" s="55"/>
      <c r="AA355" s="154"/>
    </row>
    <row r="356" spans="1:32" s="120" customFormat="1" ht="40.200000000000003" customHeight="1">
      <c r="A356" s="70">
        <f>MAX(A$14:$A355)+1</f>
        <v>330</v>
      </c>
      <c r="B356" s="134" t="s">
        <v>1309</v>
      </c>
      <c r="C356" s="129" t="s">
        <v>280</v>
      </c>
      <c r="D356" s="78" t="s">
        <v>84</v>
      </c>
      <c r="E356" s="78" t="s">
        <v>84</v>
      </c>
      <c r="F356" s="130" t="s">
        <v>1296</v>
      </c>
      <c r="G356" s="78" t="s">
        <v>1283</v>
      </c>
      <c r="H356" s="138" t="s">
        <v>1307</v>
      </c>
      <c r="I356" s="78" t="s">
        <v>612</v>
      </c>
      <c r="J356" s="148"/>
      <c r="K356" s="131">
        <f t="shared" si="25"/>
        <v>30000</v>
      </c>
      <c r="L356" s="131"/>
      <c r="M356" s="131">
        <v>30000</v>
      </c>
      <c r="N356" s="149"/>
      <c r="O356" s="150"/>
      <c r="P356" s="150"/>
      <c r="Q356" s="151"/>
      <c r="R356" s="152"/>
      <c r="S356" s="131">
        <f t="shared" si="26"/>
        <v>30000</v>
      </c>
      <c r="T356" s="131">
        <v>200</v>
      </c>
      <c r="U356" s="131">
        <v>200</v>
      </c>
      <c r="V356" s="153" t="s">
        <v>1284</v>
      </c>
      <c r="W356" s="55"/>
      <c r="X356" s="55"/>
      <c r="Y356" s="55"/>
      <c r="Z356" s="55"/>
      <c r="AA356" s="154"/>
    </row>
    <row r="357" spans="1:32" s="121" customFormat="1" ht="54" customHeight="1">
      <c r="A357" s="65" t="s">
        <v>555</v>
      </c>
      <c r="B357" s="66" t="s">
        <v>1310</v>
      </c>
      <c r="C357" s="116"/>
      <c r="D357" s="116"/>
      <c r="E357" s="116"/>
      <c r="F357" s="116"/>
      <c r="G357" s="116"/>
      <c r="H357" s="116"/>
      <c r="I357" s="116"/>
      <c r="J357" s="116"/>
      <c r="K357" s="172">
        <f>SUM(K358:K368)</f>
        <v>661240</v>
      </c>
      <c r="L357" s="172">
        <f t="shared" ref="L357:T357" si="27">SUM(L358:L368)</f>
        <v>0</v>
      </c>
      <c r="M357" s="172">
        <f t="shared" si="27"/>
        <v>661240</v>
      </c>
      <c r="N357" s="172">
        <f t="shared" si="27"/>
        <v>2600</v>
      </c>
      <c r="O357" s="172">
        <f t="shared" si="27"/>
        <v>0</v>
      </c>
      <c r="P357" s="172">
        <f t="shared" si="27"/>
        <v>235</v>
      </c>
      <c r="Q357" s="172">
        <f t="shared" si="27"/>
        <v>0</v>
      </c>
      <c r="R357" s="172">
        <f t="shared" si="27"/>
        <v>0</v>
      </c>
      <c r="S357" s="172">
        <f t="shared" si="27"/>
        <v>465040</v>
      </c>
      <c r="T357" s="172">
        <f t="shared" si="27"/>
        <v>35940</v>
      </c>
      <c r="U357" s="172">
        <f>SUM(U358:U368)</f>
        <v>35940</v>
      </c>
      <c r="V357" s="173"/>
      <c r="W357" s="55"/>
      <c r="X357" s="55"/>
      <c r="Y357" s="55"/>
      <c r="Z357" s="55"/>
      <c r="AA357" s="169">
        <f>S357/K357</f>
        <v>0.70328473776541045</v>
      </c>
      <c r="AB357" s="120"/>
      <c r="AC357" s="120"/>
      <c r="AD357" s="120"/>
      <c r="AE357" s="120"/>
      <c r="AF357" s="120"/>
    </row>
    <row r="358" spans="1:32" s="120" customFormat="1" ht="40.200000000000003" customHeight="1">
      <c r="A358" s="70">
        <f>MAX($A$13:A357)+1</f>
        <v>331</v>
      </c>
      <c r="B358" s="134" t="s">
        <v>1311</v>
      </c>
      <c r="C358" s="129" t="s">
        <v>564</v>
      </c>
      <c r="D358" s="175" t="s">
        <v>84</v>
      </c>
      <c r="E358" s="175" t="s">
        <v>84</v>
      </c>
      <c r="F358" s="8"/>
      <c r="G358" s="135"/>
      <c r="H358" s="147"/>
      <c r="I358" s="78" t="s">
        <v>416</v>
      </c>
      <c r="J358" s="148"/>
      <c r="K358" s="131">
        <v>35000</v>
      </c>
      <c r="L358" s="131"/>
      <c r="M358" s="131">
        <v>35000</v>
      </c>
      <c r="N358" s="149"/>
      <c r="O358" s="150"/>
      <c r="P358" s="131">
        <v>235</v>
      </c>
      <c r="Q358" s="151"/>
      <c r="R358" s="152"/>
      <c r="S358" s="131">
        <v>3800</v>
      </c>
      <c r="T358" s="131">
        <v>3800</v>
      </c>
      <c r="U358" s="131">
        <v>3800</v>
      </c>
      <c r="V358" s="153"/>
      <c r="W358" s="55"/>
      <c r="X358" s="55"/>
      <c r="Y358" s="55"/>
      <c r="Z358" s="55"/>
      <c r="AA358" s="154"/>
    </row>
    <row r="359" spans="1:32" s="120" customFormat="1" ht="40.200000000000003" customHeight="1">
      <c r="A359" s="70">
        <f>MAX($A$13:A358)+1</f>
        <v>332</v>
      </c>
      <c r="B359" s="71" t="s">
        <v>1312</v>
      </c>
      <c r="C359" s="176" t="s">
        <v>564</v>
      </c>
      <c r="D359" s="175" t="s">
        <v>84</v>
      </c>
      <c r="E359" s="175" t="s">
        <v>84</v>
      </c>
      <c r="F359" s="177" t="s">
        <v>1269</v>
      </c>
      <c r="G359" s="175"/>
      <c r="H359" s="175"/>
      <c r="I359" s="178" t="s">
        <v>568</v>
      </c>
      <c r="J359" s="179"/>
      <c r="K359" s="180">
        <v>10000</v>
      </c>
      <c r="L359" s="181"/>
      <c r="M359" s="180">
        <v>10000</v>
      </c>
      <c r="N359" s="181"/>
      <c r="O359" s="181"/>
      <c r="P359" s="181"/>
      <c r="Q359" s="181"/>
      <c r="R359" s="181"/>
      <c r="S359" s="181">
        <v>10000</v>
      </c>
      <c r="T359" s="181"/>
      <c r="U359" s="181"/>
      <c r="V359" s="182"/>
      <c r="W359" s="55"/>
      <c r="X359" s="55"/>
      <c r="Y359" s="55"/>
      <c r="Z359" s="55"/>
      <c r="AA359" s="154"/>
    </row>
    <row r="360" spans="1:32" s="120" customFormat="1" ht="40.200000000000003" customHeight="1">
      <c r="A360" s="70">
        <f>MAX($A$13:A359)+1</f>
        <v>333</v>
      </c>
      <c r="B360" s="183" t="s">
        <v>1313</v>
      </c>
      <c r="C360" s="184" t="s">
        <v>398</v>
      </c>
      <c r="D360" s="185" t="s">
        <v>84</v>
      </c>
      <c r="E360" s="185" t="s">
        <v>84</v>
      </c>
      <c r="F360" s="177"/>
      <c r="G360" s="175"/>
      <c r="H360" s="175"/>
      <c r="I360" s="178" t="s">
        <v>629</v>
      </c>
      <c r="J360" s="179"/>
      <c r="K360" s="180">
        <v>13640</v>
      </c>
      <c r="L360" s="181"/>
      <c r="M360" s="180">
        <v>13640</v>
      </c>
      <c r="N360" s="181"/>
      <c r="O360" s="181"/>
      <c r="P360" s="181"/>
      <c r="Q360" s="181"/>
      <c r="R360" s="181"/>
      <c r="S360" s="181">
        <v>13640</v>
      </c>
      <c r="T360" s="181">
        <v>13640</v>
      </c>
      <c r="U360" s="181">
        <v>13640</v>
      </c>
      <c r="V360" s="182" t="s">
        <v>867</v>
      </c>
      <c r="W360" s="55"/>
      <c r="X360" s="55"/>
      <c r="Y360" s="55"/>
      <c r="Z360" s="55"/>
      <c r="AA360" s="154"/>
    </row>
    <row r="361" spans="1:32" s="120" customFormat="1" ht="40.200000000000003" customHeight="1">
      <c r="A361" s="70">
        <f>MAX($A$13:A359)+1</f>
        <v>333</v>
      </c>
      <c r="B361" s="134" t="s">
        <v>1314</v>
      </c>
      <c r="C361" s="129" t="s">
        <v>632</v>
      </c>
      <c r="D361" s="78" t="s">
        <v>84</v>
      </c>
      <c r="E361" s="78" t="s">
        <v>84</v>
      </c>
      <c r="F361" s="78" t="s">
        <v>1315</v>
      </c>
      <c r="G361" s="135"/>
      <c r="H361" s="147" t="s">
        <v>1316</v>
      </c>
      <c r="I361" s="78">
        <v>2026</v>
      </c>
      <c r="J361" s="148"/>
      <c r="K361" s="131">
        <v>2600</v>
      </c>
      <c r="L361" s="131"/>
      <c r="M361" s="131">
        <v>2600</v>
      </c>
      <c r="N361" s="149">
        <v>2600</v>
      </c>
      <c r="O361" s="150"/>
      <c r="P361" s="150"/>
      <c r="Q361" s="151"/>
      <c r="R361" s="152"/>
      <c r="S361" s="131">
        <v>2600</v>
      </c>
      <c r="T361" s="131"/>
      <c r="U361" s="131"/>
      <c r="V361" s="153"/>
      <c r="W361" s="55"/>
      <c r="X361" s="55"/>
      <c r="Y361" s="55"/>
      <c r="Z361" s="55"/>
      <c r="AA361" s="154"/>
    </row>
    <row r="362" spans="1:32" s="120" customFormat="1" ht="40.200000000000003" customHeight="1">
      <c r="A362" s="70">
        <f>MAX(A$14:$A361)+1</f>
        <v>334</v>
      </c>
      <c r="B362" s="134" t="s">
        <v>1317</v>
      </c>
      <c r="C362" s="129" t="s">
        <v>632</v>
      </c>
      <c r="D362" s="78" t="s">
        <v>47</v>
      </c>
      <c r="E362" s="78" t="s">
        <v>47</v>
      </c>
      <c r="F362" s="78" t="s">
        <v>344</v>
      </c>
      <c r="G362" s="135" t="s">
        <v>1318</v>
      </c>
      <c r="H362" s="147" t="s">
        <v>1319</v>
      </c>
      <c r="I362" s="78" t="s">
        <v>547</v>
      </c>
      <c r="J362" s="148"/>
      <c r="K362" s="131">
        <v>150000</v>
      </c>
      <c r="L362" s="131"/>
      <c r="M362" s="131">
        <v>150000</v>
      </c>
      <c r="N362" s="149"/>
      <c r="O362" s="150"/>
      <c r="P362" s="150"/>
      <c r="Q362" s="151"/>
      <c r="R362" s="152"/>
      <c r="S362" s="131">
        <v>100000</v>
      </c>
      <c r="T362" s="131"/>
      <c r="U362" s="131"/>
      <c r="V362" s="153"/>
      <c r="W362" s="55"/>
      <c r="X362" s="55"/>
      <c r="Y362" s="55"/>
      <c r="Z362" s="55"/>
      <c r="AA362" s="154"/>
    </row>
    <row r="363" spans="1:32" s="120" customFormat="1" ht="40.200000000000003" customHeight="1">
      <c r="A363" s="70">
        <f>MAX(A$14:$A362)+1</f>
        <v>335</v>
      </c>
      <c r="B363" s="134" t="s">
        <v>1320</v>
      </c>
      <c r="C363" s="129" t="s">
        <v>632</v>
      </c>
      <c r="D363" s="78" t="s">
        <v>47</v>
      </c>
      <c r="E363" s="78"/>
      <c r="F363" s="78" t="s">
        <v>342</v>
      </c>
      <c r="G363" s="135"/>
      <c r="H363" s="147"/>
      <c r="I363" s="78" t="s">
        <v>547</v>
      </c>
      <c r="J363" s="148"/>
      <c r="K363" s="131">
        <v>150000</v>
      </c>
      <c r="L363" s="131"/>
      <c r="M363" s="131">
        <v>150000</v>
      </c>
      <c r="N363" s="149"/>
      <c r="O363" s="150"/>
      <c r="P363" s="150"/>
      <c r="Q363" s="151"/>
      <c r="R363" s="152"/>
      <c r="S363" s="131">
        <v>100000</v>
      </c>
      <c r="T363" s="131"/>
      <c r="U363" s="131"/>
      <c r="V363" s="153"/>
      <c r="W363" s="55"/>
      <c r="X363" s="55"/>
      <c r="Y363" s="55"/>
      <c r="Z363" s="55"/>
      <c r="AA363" s="154"/>
    </row>
    <row r="364" spans="1:32" s="120" customFormat="1" ht="40.200000000000003" customHeight="1">
      <c r="A364" s="70">
        <f>MAX(A$14:$A363)+1</f>
        <v>336</v>
      </c>
      <c r="B364" s="134" t="s">
        <v>1321</v>
      </c>
      <c r="C364" s="129" t="s">
        <v>632</v>
      </c>
      <c r="D364" s="78" t="s">
        <v>47</v>
      </c>
      <c r="E364" s="78"/>
      <c r="F364" s="78" t="s">
        <v>341</v>
      </c>
      <c r="G364" s="135"/>
      <c r="H364" s="147"/>
      <c r="I364" s="78" t="s">
        <v>547</v>
      </c>
      <c r="J364" s="148"/>
      <c r="K364" s="131">
        <v>150000</v>
      </c>
      <c r="L364" s="131"/>
      <c r="M364" s="131">
        <v>150000</v>
      </c>
      <c r="N364" s="149"/>
      <c r="O364" s="150"/>
      <c r="P364" s="150"/>
      <c r="Q364" s="151"/>
      <c r="R364" s="152"/>
      <c r="S364" s="131">
        <v>100000</v>
      </c>
      <c r="T364" s="131"/>
      <c r="U364" s="131"/>
      <c r="V364" s="153"/>
      <c r="W364" s="55"/>
      <c r="X364" s="55"/>
      <c r="Y364" s="55"/>
      <c r="Z364" s="55"/>
      <c r="AA364" s="154"/>
    </row>
    <row r="365" spans="1:32" s="120" customFormat="1" ht="40.200000000000003" customHeight="1">
      <c r="A365" s="70">
        <f>MAX(A$14:$A364)+1</f>
        <v>337</v>
      </c>
      <c r="B365" s="71" t="s">
        <v>1322</v>
      </c>
      <c r="C365" s="175" t="s">
        <v>632</v>
      </c>
      <c r="D365" s="175" t="str">
        <f>IF(K365&gt;=45000,"B","C")</f>
        <v>C</v>
      </c>
      <c r="E365" s="175" t="s">
        <v>47</v>
      </c>
      <c r="F365" s="155" t="s">
        <v>1269</v>
      </c>
      <c r="G365" s="155" t="s">
        <v>1052</v>
      </c>
      <c r="H365" s="186" t="s">
        <v>1323</v>
      </c>
      <c r="I365" s="175" t="s">
        <v>462</v>
      </c>
      <c r="J365" s="187"/>
      <c r="K365" s="188"/>
      <c r="L365" s="189"/>
      <c r="M365" s="190"/>
      <c r="N365" s="189"/>
      <c r="O365" s="189"/>
      <c r="P365" s="189"/>
      <c r="Q365" s="191"/>
      <c r="R365" s="192"/>
      <c r="S365" s="188"/>
      <c r="T365" s="189"/>
      <c r="U365" s="189"/>
      <c r="V365" s="153"/>
      <c r="W365" s="55"/>
      <c r="X365" s="55"/>
      <c r="Y365" s="55"/>
      <c r="Z365" s="55"/>
      <c r="AA365" s="154"/>
    </row>
    <row r="366" spans="1:32" s="120" customFormat="1" ht="40.200000000000003" customHeight="1">
      <c r="A366" s="70">
        <f>MAX(A$14:$A365)+1</f>
        <v>338</v>
      </c>
      <c r="B366" s="71" t="s">
        <v>1324</v>
      </c>
      <c r="C366" s="175" t="s">
        <v>632</v>
      </c>
      <c r="D366" s="175" t="str">
        <f>IF(K366&gt;=45000,"B","C")</f>
        <v>C</v>
      </c>
      <c r="E366" s="175" t="s">
        <v>84</v>
      </c>
      <c r="F366" s="155" t="s">
        <v>1269</v>
      </c>
      <c r="G366" s="155" t="s">
        <v>1052</v>
      </c>
      <c r="H366" s="186" t="s">
        <v>1325</v>
      </c>
      <c r="I366" s="175" t="s">
        <v>462</v>
      </c>
      <c r="J366" s="187"/>
      <c r="K366" s="188"/>
      <c r="L366" s="189"/>
      <c r="M366" s="188"/>
      <c r="N366" s="189"/>
      <c r="O366" s="189"/>
      <c r="P366" s="189"/>
      <c r="Q366" s="191"/>
      <c r="R366" s="192"/>
      <c r="S366" s="188"/>
      <c r="T366" s="189"/>
      <c r="U366" s="189"/>
      <c r="V366" s="153"/>
      <c r="W366" s="55"/>
      <c r="X366" s="55"/>
      <c r="Y366" s="55"/>
      <c r="Z366" s="55"/>
      <c r="AA366" s="154"/>
    </row>
    <row r="367" spans="1:32" s="120" customFormat="1" ht="40.200000000000003" customHeight="1">
      <c r="A367" s="70">
        <f>MAX(A$14:$A366)+1</f>
        <v>339</v>
      </c>
      <c r="B367" s="71" t="s">
        <v>1326</v>
      </c>
      <c r="C367" s="175" t="s">
        <v>632</v>
      </c>
      <c r="D367" s="175" t="str">
        <f>IF(K367&gt;=45000,"B","C")</f>
        <v>B</v>
      </c>
      <c r="E367" s="175" t="s">
        <v>84</v>
      </c>
      <c r="F367" s="155" t="s">
        <v>1269</v>
      </c>
      <c r="G367" s="155" t="s">
        <v>1052</v>
      </c>
      <c r="H367" s="186" t="s">
        <v>1327</v>
      </c>
      <c r="I367" s="175" t="s">
        <v>462</v>
      </c>
      <c r="J367" s="187"/>
      <c r="K367" s="193">
        <v>70000</v>
      </c>
      <c r="L367" s="194"/>
      <c r="M367" s="193">
        <v>70000</v>
      </c>
      <c r="N367" s="194"/>
      <c r="O367" s="194"/>
      <c r="P367" s="194"/>
      <c r="Q367" s="181"/>
      <c r="R367" s="195">
        <f>L367*0.9</f>
        <v>0</v>
      </c>
      <c r="S367" s="193">
        <f>M367*0.9</f>
        <v>63000</v>
      </c>
      <c r="T367" s="194">
        <v>500</v>
      </c>
      <c r="U367" s="194">
        <v>500</v>
      </c>
      <c r="V367" s="153"/>
      <c r="W367" s="55"/>
      <c r="X367" s="55"/>
      <c r="Y367" s="55"/>
      <c r="Z367" s="55"/>
      <c r="AA367" s="154"/>
    </row>
    <row r="368" spans="1:32" s="120" customFormat="1" ht="40.200000000000003" customHeight="1">
      <c r="A368" s="70">
        <f>MAX(A$14:$A367)+1</f>
        <v>340</v>
      </c>
      <c r="B368" s="71" t="s">
        <v>1328</v>
      </c>
      <c r="C368" s="175" t="s">
        <v>632</v>
      </c>
      <c r="D368" s="175" t="str">
        <f>IF(K368&gt;=45000,"B","C")</f>
        <v>B</v>
      </c>
      <c r="E368" s="175" t="s">
        <v>84</v>
      </c>
      <c r="F368" s="155" t="s">
        <v>1269</v>
      </c>
      <c r="G368" s="155" t="s">
        <v>1052</v>
      </c>
      <c r="H368" s="186" t="s">
        <v>1329</v>
      </c>
      <c r="I368" s="175" t="s">
        <v>462</v>
      </c>
      <c r="J368" s="187"/>
      <c r="K368" s="193">
        <v>80000</v>
      </c>
      <c r="L368" s="194"/>
      <c r="M368" s="193">
        <v>80000</v>
      </c>
      <c r="N368" s="194"/>
      <c r="O368" s="194"/>
      <c r="P368" s="194"/>
      <c r="Q368" s="181"/>
      <c r="R368" s="195">
        <f>L368*0.9</f>
        <v>0</v>
      </c>
      <c r="S368" s="193">
        <f>M368*0.9</f>
        <v>72000</v>
      </c>
      <c r="T368" s="194">
        <v>18000</v>
      </c>
      <c r="U368" s="194">
        <v>18000</v>
      </c>
      <c r="V368" s="153"/>
      <c r="W368" s="55"/>
      <c r="X368" s="55"/>
      <c r="Y368" s="55"/>
      <c r="Z368" s="55"/>
      <c r="AA368" s="154"/>
    </row>
    <row r="369" spans="1:32" s="121" customFormat="1" ht="27.75" customHeight="1">
      <c r="A369" s="65" t="s">
        <v>561</v>
      </c>
      <c r="B369" s="66" t="s">
        <v>1330</v>
      </c>
      <c r="C369" s="116"/>
      <c r="D369" s="116"/>
      <c r="E369" s="116"/>
      <c r="F369" s="116"/>
      <c r="G369" s="116"/>
      <c r="H369" s="116"/>
      <c r="I369" s="116"/>
      <c r="J369" s="116"/>
      <c r="K369" s="172">
        <f>SUM(K370:K377)</f>
        <v>2624500</v>
      </c>
      <c r="L369" s="172">
        <f t="shared" ref="L369:T369" si="28">SUM(L370:L377)</f>
        <v>0</v>
      </c>
      <c r="M369" s="172">
        <f t="shared" si="28"/>
        <v>2624500</v>
      </c>
      <c r="N369" s="172">
        <f t="shared" si="28"/>
        <v>0</v>
      </c>
      <c r="O369" s="172">
        <f t="shared" si="28"/>
        <v>0</v>
      </c>
      <c r="P369" s="172">
        <f t="shared" si="28"/>
        <v>0</v>
      </c>
      <c r="Q369" s="172">
        <f t="shared" si="28"/>
        <v>800000</v>
      </c>
      <c r="R369" s="172">
        <f t="shared" si="28"/>
        <v>0</v>
      </c>
      <c r="S369" s="172">
        <f t="shared" si="28"/>
        <v>1024500</v>
      </c>
      <c r="T369" s="172">
        <f t="shared" si="28"/>
        <v>22000</v>
      </c>
      <c r="U369" s="172">
        <f>SUM(U370:U377)</f>
        <v>22000</v>
      </c>
      <c r="V369" s="173"/>
      <c r="W369" s="55"/>
      <c r="X369" s="55"/>
      <c r="Y369" s="55"/>
      <c r="Z369" s="55"/>
      <c r="AA369" s="169">
        <f>S369/K369</f>
        <v>0.39036006858449229</v>
      </c>
      <c r="AB369" s="120"/>
      <c r="AC369" s="120"/>
      <c r="AD369" s="120"/>
      <c r="AE369" s="120"/>
      <c r="AF369" s="120"/>
    </row>
    <row r="370" spans="1:32" s="120" customFormat="1" ht="40.200000000000003" customHeight="1">
      <c r="A370" s="70">
        <f>MAX(A$14:$A369)+1</f>
        <v>341</v>
      </c>
      <c r="B370" s="134" t="s">
        <v>1331</v>
      </c>
      <c r="C370" s="129" t="s">
        <v>632</v>
      </c>
      <c r="D370" s="78" t="s">
        <v>84</v>
      </c>
      <c r="E370" s="78" t="s">
        <v>84</v>
      </c>
      <c r="F370" s="78" t="s">
        <v>352</v>
      </c>
      <c r="G370" s="135" t="s">
        <v>1332</v>
      </c>
      <c r="H370" s="147" t="s">
        <v>1333</v>
      </c>
      <c r="I370" s="78" t="s">
        <v>612</v>
      </c>
      <c r="J370" s="148"/>
      <c r="K370" s="131">
        <v>40000</v>
      </c>
      <c r="L370" s="131"/>
      <c r="M370" s="131">
        <f>K370</f>
        <v>40000</v>
      </c>
      <c r="N370" s="149"/>
      <c r="O370" s="150"/>
      <c r="P370" s="150"/>
      <c r="Q370" s="151"/>
      <c r="R370" s="152"/>
      <c r="S370" s="131">
        <v>40000</v>
      </c>
      <c r="T370" s="131"/>
      <c r="U370" s="131"/>
      <c r="V370" s="153"/>
      <c r="W370" s="55"/>
      <c r="X370" s="55"/>
      <c r="Y370" s="55"/>
      <c r="Z370" s="55"/>
      <c r="AA370" s="154"/>
    </row>
    <row r="371" spans="1:32" s="120" customFormat="1" ht="40.200000000000003" customHeight="1">
      <c r="A371" s="70">
        <f>MAX(A$14:$A370)+1</f>
        <v>342</v>
      </c>
      <c r="B371" s="134" t="s">
        <v>1334</v>
      </c>
      <c r="C371" s="129" t="s">
        <v>632</v>
      </c>
      <c r="D371" s="78" t="s">
        <v>84</v>
      </c>
      <c r="E371" s="78"/>
      <c r="F371" s="78" t="s">
        <v>343</v>
      </c>
      <c r="G371" s="135" t="s">
        <v>1335</v>
      </c>
      <c r="H371" s="147" t="s">
        <v>1336</v>
      </c>
      <c r="I371" s="78" t="s">
        <v>607</v>
      </c>
      <c r="J371" s="148"/>
      <c r="K371" s="131">
        <v>15000</v>
      </c>
      <c r="L371" s="131"/>
      <c r="M371" s="131">
        <v>15000</v>
      </c>
      <c r="N371" s="149"/>
      <c r="O371" s="150"/>
      <c r="P371" s="150"/>
      <c r="Q371" s="151"/>
      <c r="R371" s="152"/>
      <c r="S371" s="131">
        <v>15000</v>
      </c>
      <c r="T371" s="131"/>
      <c r="U371" s="131"/>
      <c r="V371" s="153"/>
      <c r="W371" s="55"/>
      <c r="X371" s="55"/>
      <c r="Y371" s="55"/>
      <c r="Z371" s="55"/>
      <c r="AA371" s="154"/>
    </row>
    <row r="372" spans="1:32" s="120" customFormat="1" ht="40.200000000000003" customHeight="1">
      <c r="A372" s="70">
        <f>MAX(A$14:$A371)+1</f>
        <v>343</v>
      </c>
      <c r="B372" s="134" t="s">
        <v>1337</v>
      </c>
      <c r="C372" s="129" t="s">
        <v>632</v>
      </c>
      <c r="D372" s="78" t="s">
        <v>84</v>
      </c>
      <c r="E372" s="78"/>
      <c r="F372" s="78" t="s">
        <v>342</v>
      </c>
      <c r="G372" s="135" t="s">
        <v>773</v>
      </c>
      <c r="H372" s="147" t="s">
        <v>1336</v>
      </c>
      <c r="I372" s="78" t="s">
        <v>607</v>
      </c>
      <c r="J372" s="148"/>
      <c r="K372" s="131">
        <v>19500</v>
      </c>
      <c r="L372" s="131"/>
      <c r="M372" s="131">
        <v>19500</v>
      </c>
      <c r="N372" s="149"/>
      <c r="O372" s="150"/>
      <c r="P372" s="150"/>
      <c r="Q372" s="151"/>
      <c r="R372" s="152"/>
      <c r="S372" s="131">
        <v>19500</v>
      </c>
      <c r="T372" s="131"/>
      <c r="U372" s="131"/>
      <c r="V372" s="153"/>
      <c r="W372" s="55"/>
      <c r="X372" s="55"/>
      <c r="Y372" s="55"/>
      <c r="Z372" s="55"/>
      <c r="AA372" s="154"/>
    </row>
    <row r="373" spans="1:32" s="120" customFormat="1" ht="40.200000000000003" customHeight="1">
      <c r="A373" s="70">
        <f>MAX(A$14:$A372)+1</f>
        <v>344</v>
      </c>
      <c r="B373" s="134" t="s">
        <v>1338</v>
      </c>
      <c r="C373" s="129" t="s">
        <v>632</v>
      </c>
      <c r="D373" s="78" t="s">
        <v>84</v>
      </c>
      <c r="E373" s="78" t="s">
        <v>84</v>
      </c>
      <c r="F373" s="78" t="s">
        <v>821</v>
      </c>
      <c r="G373" s="135" t="s">
        <v>1339</v>
      </c>
      <c r="H373" s="147" t="s">
        <v>1340</v>
      </c>
      <c r="I373" s="78" t="s">
        <v>1341</v>
      </c>
      <c r="J373" s="148"/>
      <c r="K373" s="131">
        <v>85000</v>
      </c>
      <c r="L373" s="131"/>
      <c r="M373" s="131">
        <f>K373</f>
        <v>85000</v>
      </c>
      <c r="N373" s="149"/>
      <c r="O373" s="150"/>
      <c r="P373" s="150"/>
      <c r="Q373" s="151"/>
      <c r="R373" s="152"/>
      <c r="S373" s="131">
        <v>85000</v>
      </c>
      <c r="T373" s="131">
        <v>5000</v>
      </c>
      <c r="U373" s="131">
        <v>5000</v>
      </c>
      <c r="V373" s="153"/>
      <c r="W373" s="55"/>
      <c r="X373" s="55"/>
      <c r="Y373" s="55"/>
      <c r="Z373" s="55"/>
      <c r="AA373" s="154"/>
    </row>
    <row r="374" spans="1:32" s="120" customFormat="1" ht="40.200000000000003" customHeight="1">
      <c r="A374" s="70">
        <f>MAX(A$14:$A373)+1</f>
        <v>345</v>
      </c>
      <c r="B374" s="134" t="s">
        <v>1342</v>
      </c>
      <c r="C374" s="129" t="s">
        <v>632</v>
      </c>
      <c r="D374" s="78" t="s">
        <v>84</v>
      </c>
      <c r="E374" s="78" t="s">
        <v>84</v>
      </c>
      <c r="F374" s="78" t="s">
        <v>821</v>
      </c>
      <c r="G374" s="135" t="s">
        <v>1343</v>
      </c>
      <c r="H374" s="147" t="s">
        <v>1344</v>
      </c>
      <c r="I374" s="78" t="s">
        <v>728</v>
      </c>
      <c r="J374" s="148"/>
      <c r="K374" s="131">
        <v>35000</v>
      </c>
      <c r="L374" s="131"/>
      <c r="M374" s="131">
        <f>K374</f>
        <v>35000</v>
      </c>
      <c r="N374" s="149"/>
      <c r="O374" s="150"/>
      <c r="P374" s="150"/>
      <c r="Q374" s="151"/>
      <c r="R374" s="152"/>
      <c r="S374" s="131">
        <v>35000</v>
      </c>
      <c r="T374" s="131"/>
      <c r="U374" s="131"/>
      <c r="V374" s="153"/>
      <c r="W374" s="55"/>
      <c r="X374" s="55"/>
      <c r="Y374" s="55"/>
      <c r="Z374" s="55"/>
      <c r="AA374" s="154"/>
    </row>
    <row r="375" spans="1:32" s="120" customFormat="1" ht="40.200000000000003" customHeight="1">
      <c r="A375" s="70">
        <f>MAX(A$14:$A374)+1</f>
        <v>346</v>
      </c>
      <c r="B375" s="134" t="s">
        <v>1345</v>
      </c>
      <c r="C375" s="129" t="s">
        <v>632</v>
      </c>
      <c r="D375" s="78" t="s">
        <v>84</v>
      </c>
      <c r="E375" s="78" t="s">
        <v>84</v>
      </c>
      <c r="F375" s="78" t="s">
        <v>821</v>
      </c>
      <c r="G375" s="135" t="s">
        <v>1343</v>
      </c>
      <c r="H375" s="147" t="s">
        <v>1344</v>
      </c>
      <c r="I375" s="78" t="s">
        <v>728</v>
      </c>
      <c r="J375" s="148"/>
      <c r="K375" s="131">
        <v>18000</v>
      </c>
      <c r="L375" s="131"/>
      <c r="M375" s="131">
        <f>K375</f>
        <v>18000</v>
      </c>
      <c r="N375" s="149"/>
      <c r="O375" s="150"/>
      <c r="P375" s="150"/>
      <c r="Q375" s="151"/>
      <c r="R375" s="152"/>
      <c r="S375" s="131">
        <v>18000</v>
      </c>
      <c r="T375" s="131"/>
      <c r="U375" s="131"/>
      <c r="V375" s="153"/>
      <c r="W375" s="55"/>
      <c r="X375" s="55"/>
      <c r="Y375" s="55"/>
      <c r="Z375" s="55"/>
      <c r="AA375" s="154"/>
    </row>
    <row r="376" spans="1:32" s="120" customFormat="1" ht="40.200000000000003" customHeight="1">
      <c r="A376" s="70">
        <f>MAX(A$14:$A375)+1</f>
        <v>347</v>
      </c>
      <c r="B376" s="134" t="s">
        <v>1346</v>
      </c>
      <c r="C376" s="129" t="s">
        <v>632</v>
      </c>
      <c r="D376" s="78" t="s">
        <v>84</v>
      </c>
      <c r="E376" s="78" t="s">
        <v>84</v>
      </c>
      <c r="F376" s="78" t="s">
        <v>852</v>
      </c>
      <c r="G376" s="135"/>
      <c r="H376" s="147" t="s">
        <v>1347</v>
      </c>
      <c r="I376" s="78" t="s">
        <v>607</v>
      </c>
      <c r="J376" s="148"/>
      <c r="K376" s="131">
        <v>12000</v>
      </c>
      <c r="L376" s="131"/>
      <c r="M376" s="131">
        <f>K376</f>
        <v>12000</v>
      </c>
      <c r="N376" s="149"/>
      <c r="O376" s="150"/>
      <c r="P376" s="150"/>
      <c r="Q376" s="151"/>
      <c r="R376" s="152"/>
      <c r="S376" s="131">
        <v>12000</v>
      </c>
      <c r="T376" s="131">
        <v>12000</v>
      </c>
      <c r="U376" s="131">
        <v>12000</v>
      </c>
      <c r="V376" s="153"/>
      <c r="W376" s="55"/>
      <c r="X376" s="55"/>
      <c r="Y376" s="55"/>
      <c r="Z376" s="55"/>
      <c r="AA376" s="154"/>
    </row>
    <row r="377" spans="1:32" s="120" customFormat="1" ht="40.200000000000003" customHeight="1">
      <c r="A377" s="70">
        <f>MAX(A$14:$A376)+1</f>
        <v>348</v>
      </c>
      <c r="B377" s="134" t="s">
        <v>1348</v>
      </c>
      <c r="C377" s="129" t="s">
        <v>632</v>
      </c>
      <c r="D377" s="78" t="s">
        <v>35</v>
      </c>
      <c r="E377" s="78" t="s">
        <v>47</v>
      </c>
      <c r="F377" s="196" t="s">
        <v>1269</v>
      </c>
      <c r="G377" s="135" t="s">
        <v>1349</v>
      </c>
      <c r="H377" s="147" t="s">
        <v>1350</v>
      </c>
      <c r="I377" s="78" t="s">
        <v>1351</v>
      </c>
      <c r="J377" s="148"/>
      <c r="K377" s="131">
        <v>2400000</v>
      </c>
      <c r="L377" s="131"/>
      <c r="M377" s="131">
        <v>2400000</v>
      </c>
      <c r="N377" s="149"/>
      <c r="O377" s="150"/>
      <c r="P377" s="150"/>
      <c r="Q377" s="151">
        <f>R377+S377</f>
        <v>800000</v>
      </c>
      <c r="R377" s="152">
        <f>L377*0.9</f>
        <v>0</v>
      </c>
      <c r="S377" s="131">
        <v>800000</v>
      </c>
      <c r="T377" s="131">
        <v>5000</v>
      </c>
      <c r="U377" s="131">
        <v>5000</v>
      </c>
      <c r="V377" s="153"/>
      <c r="W377" s="55"/>
      <c r="X377" s="55"/>
      <c r="Y377" s="55"/>
      <c r="Z377" s="55"/>
      <c r="AA377" s="154"/>
    </row>
    <row r="378" spans="1:32" s="121" customFormat="1" ht="32.25" customHeight="1">
      <c r="A378" s="65" t="s">
        <v>569</v>
      </c>
      <c r="B378" s="66" t="s">
        <v>1352</v>
      </c>
      <c r="C378" s="116"/>
      <c r="D378" s="116"/>
      <c r="E378" s="116"/>
      <c r="F378" s="116"/>
      <c r="G378" s="116"/>
      <c r="H378" s="116"/>
      <c r="I378" s="116"/>
      <c r="J378" s="116"/>
      <c r="K378" s="172">
        <f>SUM(K379:K396)</f>
        <v>3742023</v>
      </c>
      <c r="L378" s="172">
        <f t="shared" ref="L378:T378" si="29">SUM(L379:L396)</f>
        <v>0</v>
      </c>
      <c r="M378" s="172">
        <f t="shared" si="29"/>
        <v>3742023</v>
      </c>
      <c r="N378" s="172">
        <f t="shared" si="29"/>
        <v>0</v>
      </c>
      <c r="O378" s="172">
        <f t="shared" si="29"/>
        <v>0</v>
      </c>
      <c r="P378" s="172">
        <f t="shared" si="29"/>
        <v>0</v>
      </c>
      <c r="Q378" s="172">
        <f t="shared" si="29"/>
        <v>0</v>
      </c>
      <c r="R378" s="172">
        <f t="shared" si="29"/>
        <v>0</v>
      </c>
      <c r="S378" s="172">
        <f t="shared" si="29"/>
        <v>2108000</v>
      </c>
      <c r="T378" s="172">
        <f t="shared" si="29"/>
        <v>350500</v>
      </c>
      <c r="U378" s="172">
        <f>SUM(U379:U396)</f>
        <v>350500</v>
      </c>
      <c r="V378" s="173"/>
      <c r="W378" s="55"/>
      <c r="X378" s="55"/>
      <c r="Y378" s="55"/>
      <c r="Z378" s="55"/>
      <c r="AA378" s="120"/>
      <c r="AB378" s="120"/>
      <c r="AC378" s="120"/>
      <c r="AD378" s="120"/>
      <c r="AE378" s="120"/>
      <c r="AF378" s="120"/>
    </row>
    <row r="379" spans="1:32" s="121" customFormat="1" ht="40.200000000000003" customHeight="1">
      <c r="A379" s="70">
        <f>MAX(A$14:$A378)+1</f>
        <v>349</v>
      </c>
      <c r="B379" s="71" t="s">
        <v>1353</v>
      </c>
      <c r="C379" s="72" t="s">
        <v>253</v>
      </c>
      <c r="D379" s="72" t="s">
        <v>47</v>
      </c>
      <c r="E379" s="72" t="s">
        <v>47</v>
      </c>
      <c r="F379" s="197" t="s">
        <v>332</v>
      </c>
      <c r="G379" s="197" t="s">
        <v>1354</v>
      </c>
      <c r="H379" s="198" t="s">
        <v>1355</v>
      </c>
      <c r="I379" s="199" t="s">
        <v>568</v>
      </c>
      <c r="J379" s="200"/>
      <c r="K379" s="201">
        <v>650000</v>
      </c>
      <c r="L379" s="202"/>
      <c r="M379" s="201">
        <v>650000</v>
      </c>
      <c r="N379" s="203"/>
      <c r="O379" s="203"/>
      <c r="P379" s="203"/>
      <c r="Q379" s="108"/>
      <c r="R379" s="204"/>
      <c r="S379" s="108">
        <v>600000</v>
      </c>
      <c r="T379" s="202">
        <v>500</v>
      </c>
      <c r="U379" s="202">
        <v>500</v>
      </c>
      <c r="V379" s="205"/>
      <c r="W379" s="55"/>
      <c r="X379" s="55"/>
      <c r="Y379" s="55"/>
      <c r="Z379" s="55"/>
      <c r="AA379" s="120"/>
      <c r="AB379" s="120"/>
      <c r="AC379" s="120"/>
      <c r="AD379" s="120"/>
      <c r="AE379" s="120"/>
      <c r="AF379" s="120"/>
    </row>
    <row r="380" spans="1:32" s="121" customFormat="1" ht="40.200000000000003" customHeight="1">
      <c r="A380" s="70">
        <f>MAX(A$14:$A379)+1</f>
        <v>350</v>
      </c>
      <c r="B380" s="71" t="s">
        <v>1356</v>
      </c>
      <c r="C380" s="72" t="s">
        <v>253</v>
      </c>
      <c r="D380" s="72" t="s">
        <v>47</v>
      </c>
      <c r="E380" s="72" t="s">
        <v>47</v>
      </c>
      <c r="F380" s="197" t="s">
        <v>332</v>
      </c>
      <c r="G380" s="72" t="s">
        <v>1357</v>
      </c>
      <c r="H380" s="198" t="s">
        <v>1358</v>
      </c>
      <c r="I380" s="72" t="s">
        <v>568</v>
      </c>
      <c r="J380" s="200"/>
      <c r="K380" s="206">
        <v>500000</v>
      </c>
      <c r="L380" s="202"/>
      <c r="M380" s="206">
        <v>500000</v>
      </c>
      <c r="N380" s="203"/>
      <c r="O380" s="203"/>
      <c r="P380" s="203"/>
      <c r="Q380" s="108"/>
      <c r="R380" s="207"/>
      <c r="S380" s="108">
        <v>450000</v>
      </c>
      <c r="T380" s="202">
        <v>500</v>
      </c>
      <c r="U380" s="202">
        <v>500</v>
      </c>
      <c r="V380" s="205"/>
      <c r="W380" s="55"/>
      <c r="X380" s="55"/>
      <c r="Y380" s="55"/>
      <c r="Z380" s="55"/>
      <c r="AA380" s="120"/>
      <c r="AB380" s="120"/>
      <c r="AC380" s="120"/>
      <c r="AD380" s="120"/>
      <c r="AE380" s="120"/>
      <c r="AF380" s="120"/>
    </row>
    <row r="381" spans="1:32" s="121" customFormat="1" ht="40.200000000000003" customHeight="1">
      <c r="A381" s="70">
        <f>MAX(A$14:$A380)+1</f>
        <v>351</v>
      </c>
      <c r="B381" s="71" t="s">
        <v>1359</v>
      </c>
      <c r="C381" s="72" t="s">
        <v>253</v>
      </c>
      <c r="D381" s="72" t="s">
        <v>47</v>
      </c>
      <c r="E381" s="72" t="s">
        <v>47</v>
      </c>
      <c r="F381" s="197" t="s">
        <v>332</v>
      </c>
      <c r="G381" s="208" t="s">
        <v>1360</v>
      </c>
      <c r="H381" s="198" t="s">
        <v>1361</v>
      </c>
      <c r="I381" s="72" t="s">
        <v>568</v>
      </c>
      <c r="J381" s="200"/>
      <c r="K381" s="201">
        <f>33*13000</f>
        <v>429000</v>
      </c>
      <c r="L381" s="202"/>
      <c r="M381" s="201">
        <f>33*13000</f>
        <v>429000</v>
      </c>
      <c r="N381" s="203"/>
      <c r="O381" s="203"/>
      <c r="P381" s="203"/>
      <c r="Q381" s="108"/>
      <c r="R381" s="207"/>
      <c r="S381" s="201">
        <v>400000</v>
      </c>
      <c r="T381" s="202">
        <v>500</v>
      </c>
      <c r="U381" s="202">
        <v>500</v>
      </c>
      <c r="V381" s="205"/>
      <c r="W381" s="55"/>
      <c r="X381" s="55"/>
      <c r="Y381" s="55"/>
      <c r="Z381" s="55"/>
      <c r="AA381" s="120"/>
      <c r="AB381" s="120"/>
      <c r="AC381" s="120"/>
      <c r="AD381" s="120"/>
      <c r="AE381" s="120"/>
      <c r="AF381" s="120"/>
    </row>
    <row r="382" spans="1:32" s="121" customFormat="1" ht="40.200000000000003" customHeight="1">
      <c r="A382" s="70">
        <f>MAX(A$14:$A381)+1</f>
        <v>352</v>
      </c>
      <c r="B382" s="71" t="s">
        <v>1362</v>
      </c>
      <c r="C382" s="72" t="s">
        <v>253</v>
      </c>
      <c r="D382" s="72" t="s">
        <v>47</v>
      </c>
      <c r="E382" s="72" t="s">
        <v>47</v>
      </c>
      <c r="F382" s="197" t="s">
        <v>332</v>
      </c>
      <c r="G382" s="208" t="s">
        <v>1363</v>
      </c>
      <c r="H382" s="175" t="s">
        <v>1364</v>
      </c>
      <c r="I382" s="72" t="s">
        <v>568</v>
      </c>
      <c r="J382" s="175"/>
      <c r="K382" s="181">
        <v>390000</v>
      </c>
      <c r="L382" s="209"/>
      <c r="M382" s="181">
        <v>390000</v>
      </c>
      <c r="N382" s="209"/>
      <c r="O382" s="209"/>
      <c r="P382" s="209"/>
      <c r="Q382" s="209"/>
      <c r="R382" s="209"/>
      <c r="S382" s="181">
        <v>350000</v>
      </c>
      <c r="T382" s="209">
        <v>500</v>
      </c>
      <c r="U382" s="209">
        <v>500</v>
      </c>
      <c r="V382" s="179"/>
      <c r="W382" s="55"/>
      <c r="X382" s="55"/>
      <c r="Y382" s="55"/>
      <c r="Z382" s="55"/>
      <c r="AA382" s="120"/>
      <c r="AB382" s="120"/>
      <c r="AC382" s="120"/>
      <c r="AD382" s="120"/>
      <c r="AE382" s="120"/>
      <c r="AF382" s="120"/>
    </row>
    <row r="383" spans="1:32" s="121" customFormat="1" ht="40.200000000000003" customHeight="1">
      <c r="A383" s="70">
        <f>MAX(A$14:$A382)+1</f>
        <v>353</v>
      </c>
      <c r="B383" s="71" t="s">
        <v>1365</v>
      </c>
      <c r="C383" s="72" t="s">
        <v>253</v>
      </c>
      <c r="D383" s="72" t="s">
        <v>47</v>
      </c>
      <c r="E383" s="210" t="s">
        <v>84</v>
      </c>
      <c r="F383" s="197" t="s">
        <v>331</v>
      </c>
      <c r="G383" s="208"/>
      <c r="H383" s="208" t="s">
        <v>1366</v>
      </c>
      <c r="I383" s="72" t="s">
        <v>568</v>
      </c>
      <c r="J383" s="197"/>
      <c r="K383" s="211">
        <v>100000</v>
      </c>
      <c r="L383" s="211"/>
      <c r="M383" s="211">
        <v>100000</v>
      </c>
      <c r="N383" s="212"/>
      <c r="O383" s="212"/>
      <c r="P383" s="212"/>
      <c r="Q383" s="211"/>
      <c r="R383" s="212"/>
      <c r="S383" s="211">
        <v>100000</v>
      </c>
      <c r="T383" s="211">
        <v>500</v>
      </c>
      <c r="U383" s="211">
        <v>500</v>
      </c>
      <c r="V383" s="213"/>
      <c r="W383" s="55"/>
      <c r="X383" s="55"/>
      <c r="Y383" s="55"/>
      <c r="Z383" s="55"/>
      <c r="AA383" s="120"/>
      <c r="AB383" s="120"/>
      <c r="AC383" s="120"/>
      <c r="AD383" s="120"/>
      <c r="AE383" s="120"/>
      <c r="AF383" s="120"/>
    </row>
    <row r="384" spans="1:32" s="121" customFormat="1" ht="40.200000000000003" customHeight="1">
      <c r="A384" s="70">
        <f>MAX(A$14:$A383)+1</f>
        <v>354</v>
      </c>
      <c r="B384" s="71" t="s">
        <v>1367</v>
      </c>
      <c r="C384" s="72" t="s">
        <v>253</v>
      </c>
      <c r="D384" s="210" t="s">
        <v>84</v>
      </c>
      <c r="E384" s="210" t="s">
        <v>84</v>
      </c>
      <c r="F384" s="72" t="s">
        <v>553</v>
      </c>
      <c r="G384" s="208"/>
      <c r="H384" s="208" t="s">
        <v>1368</v>
      </c>
      <c r="I384" s="72" t="s">
        <v>568</v>
      </c>
      <c r="J384" s="197"/>
      <c r="K384" s="211">
        <v>61023</v>
      </c>
      <c r="L384" s="211"/>
      <c r="M384" s="211">
        <v>61023</v>
      </c>
      <c r="N384" s="212"/>
      <c r="O384" s="212"/>
      <c r="P384" s="212"/>
      <c r="Q384" s="211"/>
      <c r="R384" s="212"/>
      <c r="S384" s="211">
        <v>60000</v>
      </c>
      <c r="T384" s="211">
        <v>500</v>
      </c>
      <c r="U384" s="211">
        <v>500</v>
      </c>
      <c r="V384" s="213"/>
      <c r="W384" s="55"/>
      <c r="X384" s="55"/>
      <c r="Y384" s="55"/>
      <c r="Z384" s="55"/>
      <c r="AA384" s="120"/>
      <c r="AB384" s="120"/>
      <c r="AC384" s="120"/>
      <c r="AD384" s="120"/>
      <c r="AE384" s="120"/>
      <c r="AF384" s="120"/>
    </row>
    <row r="385" spans="1:32" s="121" customFormat="1" ht="40.200000000000003" customHeight="1">
      <c r="A385" s="70">
        <f>MAX(A$14:$A384)+1</f>
        <v>355</v>
      </c>
      <c r="B385" s="71" t="s">
        <v>1369</v>
      </c>
      <c r="C385" s="72" t="s">
        <v>253</v>
      </c>
      <c r="D385" s="210" t="s">
        <v>84</v>
      </c>
      <c r="E385" s="210" t="s">
        <v>84</v>
      </c>
      <c r="F385" s="72" t="s">
        <v>1370</v>
      </c>
      <c r="G385" s="208" t="s">
        <v>1371</v>
      </c>
      <c r="H385" s="208" t="s">
        <v>1372</v>
      </c>
      <c r="I385" s="72" t="s">
        <v>568</v>
      </c>
      <c r="J385" s="197"/>
      <c r="K385" s="211">
        <v>30000</v>
      </c>
      <c r="L385" s="211"/>
      <c r="M385" s="211">
        <v>30000</v>
      </c>
      <c r="N385" s="212"/>
      <c r="O385" s="212"/>
      <c r="P385" s="212"/>
      <c r="Q385" s="211"/>
      <c r="R385" s="212"/>
      <c r="S385" s="211">
        <v>30000</v>
      </c>
      <c r="T385" s="211"/>
      <c r="U385" s="211"/>
      <c r="V385" s="213"/>
      <c r="W385" s="55"/>
      <c r="X385" s="55"/>
      <c r="Y385" s="55"/>
      <c r="Z385" s="55"/>
      <c r="AA385" s="120"/>
      <c r="AB385" s="120"/>
      <c r="AC385" s="120"/>
      <c r="AD385" s="120"/>
      <c r="AE385" s="120"/>
      <c r="AF385" s="120"/>
    </row>
    <row r="386" spans="1:32" s="120" customFormat="1" ht="40.200000000000003" customHeight="1">
      <c r="A386" s="70">
        <f>MAX(A$14:$A385)+1</f>
        <v>356</v>
      </c>
      <c r="B386" s="134" t="s">
        <v>1373</v>
      </c>
      <c r="C386" s="129" t="s">
        <v>632</v>
      </c>
      <c r="D386" s="78" t="s">
        <v>84</v>
      </c>
      <c r="E386" s="78" t="s">
        <v>84</v>
      </c>
      <c r="F386" s="78" t="s">
        <v>1374</v>
      </c>
      <c r="G386" s="135"/>
      <c r="H386" s="147" t="s">
        <v>1375</v>
      </c>
      <c r="I386" s="78" t="s">
        <v>568</v>
      </c>
      <c r="J386" s="148"/>
      <c r="K386" s="131">
        <v>25000</v>
      </c>
      <c r="L386" s="131"/>
      <c r="M386" s="131">
        <v>25000</v>
      </c>
      <c r="N386" s="149"/>
      <c r="O386" s="150"/>
      <c r="P386" s="150"/>
      <c r="Q386" s="151"/>
      <c r="R386" s="152"/>
      <c r="S386" s="131">
        <v>25000</v>
      </c>
      <c r="T386" s="131">
        <v>7500</v>
      </c>
      <c r="U386" s="131">
        <v>7500</v>
      </c>
      <c r="V386" s="153"/>
      <c r="W386" s="55"/>
      <c r="X386" s="55"/>
      <c r="Y386" s="55"/>
      <c r="Z386" s="55"/>
      <c r="AA386" s="154"/>
    </row>
    <row r="387" spans="1:32" s="120" customFormat="1" ht="40.200000000000003" customHeight="1">
      <c r="A387" s="70">
        <f>MAX(A$14:$A386)+1</f>
        <v>357</v>
      </c>
      <c r="B387" s="134" t="s">
        <v>1376</v>
      </c>
      <c r="C387" s="129" t="s">
        <v>632</v>
      </c>
      <c r="D387" s="78" t="s">
        <v>84</v>
      </c>
      <c r="E387" s="78" t="s">
        <v>84</v>
      </c>
      <c r="F387" s="78" t="s">
        <v>1377</v>
      </c>
      <c r="G387" s="135" t="s">
        <v>1378</v>
      </c>
      <c r="H387" s="147" t="s">
        <v>1379</v>
      </c>
      <c r="I387" s="78" t="s">
        <v>668</v>
      </c>
      <c r="J387" s="148"/>
      <c r="K387" s="131">
        <v>15000</v>
      </c>
      <c r="L387" s="131"/>
      <c r="M387" s="131">
        <v>15000</v>
      </c>
      <c r="N387" s="149"/>
      <c r="O387" s="150"/>
      <c r="P387" s="150"/>
      <c r="Q387" s="151"/>
      <c r="R387" s="152"/>
      <c r="S387" s="131">
        <v>15000</v>
      </c>
      <c r="T387" s="131"/>
      <c r="U387" s="131"/>
      <c r="V387" s="153"/>
      <c r="W387" s="55"/>
      <c r="X387" s="55"/>
      <c r="Y387" s="55"/>
      <c r="Z387" s="55"/>
      <c r="AA387" s="154"/>
    </row>
    <row r="388" spans="1:32" s="120" customFormat="1" ht="40.200000000000003" customHeight="1">
      <c r="A388" s="70">
        <f>MAX(A$14:$A387)+1</f>
        <v>358</v>
      </c>
      <c r="B388" s="134" t="s">
        <v>1380</v>
      </c>
      <c r="C388" s="129" t="s">
        <v>632</v>
      </c>
      <c r="D388" s="78" t="s">
        <v>84</v>
      </c>
      <c r="E388" s="78" t="s">
        <v>84</v>
      </c>
      <c r="F388" s="78" t="s">
        <v>344</v>
      </c>
      <c r="G388" s="135"/>
      <c r="H388" s="147" t="s">
        <v>1381</v>
      </c>
      <c r="I388" s="78" t="s">
        <v>668</v>
      </c>
      <c r="J388" s="148"/>
      <c r="K388" s="131">
        <v>20000</v>
      </c>
      <c r="L388" s="131"/>
      <c r="M388" s="131">
        <v>20000</v>
      </c>
      <c r="N388" s="149"/>
      <c r="O388" s="150"/>
      <c r="P388" s="150"/>
      <c r="Q388" s="151"/>
      <c r="R388" s="152"/>
      <c r="S388" s="131">
        <v>20000</v>
      </c>
      <c r="T388" s="131"/>
      <c r="U388" s="131"/>
      <c r="V388" s="153"/>
      <c r="W388" s="55"/>
      <c r="X388" s="55"/>
      <c r="Y388" s="55"/>
      <c r="Z388" s="55"/>
      <c r="AA388" s="154"/>
    </row>
    <row r="389" spans="1:32" s="120" customFormat="1" ht="40.200000000000003" customHeight="1">
      <c r="A389" s="70">
        <f>MAX(A$14:$A388)+1</f>
        <v>359</v>
      </c>
      <c r="B389" s="134" t="s">
        <v>1382</v>
      </c>
      <c r="C389" s="129" t="s">
        <v>632</v>
      </c>
      <c r="D389" s="78" t="s">
        <v>84</v>
      </c>
      <c r="E389" s="78" t="s">
        <v>84</v>
      </c>
      <c r="F389" s="78" t="s">
        <v>852</v>
      </c>
      <c r="G389" s="135" t="s">
        <v>1383</v>
      </c>
      <c r="H389" s="147" t="s">
        <v>1384</v>
      </c>
      <c r="I389" s="78">
        <v>2026</v>
      </c>
      <c r="J389" s="148"/>
      <c r="K389" s="131">
        <v>3000</v>
      </c>
      <c r="L389" s="131"/>
      <c r="M389" s="131">
        <f>K389</f>
        <v>3000</v>
      </c>
      <c r="N389" s="149"/>
      <c r="O389" s="150"/>
      <c r="P389" s="150"/>
      <c r="Q389" s="151"/>
      <c r="R389" s="152"/>
      <c r="S389" s="131">
        <v>3000</v>
      </c>
      <c r="T389" s="131">
        <v>3000</v>
      </c>
      <c r="U389" s="131">
        <v>3000</v>
      </c>
      <c r="V389" s="153"/>
      <c r="W389" s="55"/>
      <c r="X389" s="55"/>
      <c r="Y389" s="55"/>
      <c r="Z389" s="55"/>
      <c r="AA389" s="154"/>
    </row>
    <row r="390" spans="1:32" s="120" customFormat="1" ht="40.200000000000003" customHeight="1">
      <c r="A390" s="70">
        <f>MAX(A$14:$A389)+1</f>
        <v>360</v>
      </c>
      <c r="B390" s="134" t="s">
        <v>1385</v>
      </c>
      <c r="C390" s="129" t="s">
        <v>632</v>
      </c>
      <c r="D390" s="78" t="s">
        <v>84</v>
      </c>
      <c r="E390" s="78" t="s">
        <v>84</v>
      </c>
      <c r="F390" s="78" t="s">
        <v>852</v>
      </c>
      <c r="G390" s="135" t="s">
        <v>1383</v>
      </c>
      <c r="H390" s="147" t="s">
        <v>1384</v>
      </c>
      <c r="I390" s="78" t="s">
        <v>547</v>
      </c>
      <c r="J390" s="148"/>
      <c r="K390" s="131">
        <v>55000</v>
      </c>
      <c r="L390" s="131"/>
      <c r="M390" s="131">
        <f>K390</f>
        <v>55000</v>
      </c>
      <c r="N390" s="149"/>
      <c r="O390" s="150"/>
      <c r="P390" s="150"/>
      <c r="Q390" s="151"/>
      <c r="R390" s="152"/>
      <c r="S390" s="131">
        <v>55000</v>
      </c>
      <c r="T390" s="131"/>
      <c r="U390" s="131"/>
      <c r="V390" s="153"/>
      <c r="W390" s="55"/>
      <c r="X390" s="55"/>
      <c r="Y390" s="55"/>
      <c r="Z390" s="55"/>
      <c r="AA390" s="154"/>
    </row>
    <row r="391" spans="1:32" s="120" customFormat="1" ht="40.200000000000003" customHeight="1">
      <c r="A391" s="70">
        <f>MAX(A$14:$A390)+1</f>
        <v>361</v>
      </c>
      <c r="B391" s="134" t="s">
        <v>1386</v>
      </c>
      <c r="C391" s="129" t="s">
        <v>138</v>
      </c>
      <c r="D391" s="78" t="s">
        <v>47</v>
      </c>
      <c r="E391" s="78" t="s">
        <v>84</v>
      </c>
      <c r="F391" s="78" t="s">
        <v>1387</v>
      </c>
      <c r="G391" s="135"/>
      <c r="H391" s="147" t="s">
        <v>1388</v>
      </c>
      <c r="I391" s="78" t="s">
        <v>568</v>
      </c>
      <c r="J391" s="148"/>
      <c r="K391" s="131">
        <v>100000</v>
      </c>
      <c r="L391" s="131">
        <f t="shared" ref="L391:L396" si="30">R391</f>
        <v>0</v>
      </c>
      <c r="M391" s="131">
        <f t="shared" ref="M391:M396" si="31">K391-L391</f>
        <v>100000</v>
      </c>
      <c r="N391" s="149"/>
      <c r="O391" s="150"/>
      <c r="P391" s="150"/>
      <c r="Q391" s="151"/>
      <c r="R391" s="152"/>
      <c r="S391" s="131">
        <f t="shared" ref="S391:S396" si="32">Q391-R391</f>
        <v>0</v>
      </c>
      <c r="T391" s="131">
        <v>25000</v>
      </c>
      <c r="U391" s="131">
        <v>25000</v>
      </c>
      <c r="V391" s="153"/>
      <c r="W391" s="55">
        <f t="shared" ref="W391:W396" si="33">M391-S391</f>
        <v>100000</v>
      </c>
      <c r="X391" s="55"/>
      <c r="Y391" s="55">
        <v>1</v>
      </c>
      <c r="Z391" s="55"/>
      <c r="AA391" s="154">
        <f t="shared" ref="AA391:AA396" si="34">S391/K391</f>
        <v>0</v>
      </c>
    </row>
    <row r="392" spans="1:32" s="120" customFormat="1" ht="40.200000000000003" customHeight="1">
      <c r="A392" s="70">
        <f>MAX(A$14:$A391)+1</f>
        <v>362</v>
      </c>
      <c r="B392" s="134" t="s">
        <v>1389</v>
      </c>
      <c r="C392" s="129" t="s">
        <v>138</v>
      </c>
      <c r="D392" s="78" t="s">
        <v>47</v>
      </c>
      <c r="E392" s="78" t="s">
        <v>84</v>
      </c>
      <c r="F392" s="78" t="s">
        <v>1387</v>
      </c>
      <c r="G392" s="135" t="s">
        <v>1390</v>
      </c>
      <c r="H392" s="147" t="s">
        <v>1391</v>
      </c>
      <c r="I392" s="78" t="s">
        <v>568</v>
      </c>
      <c r="J392" s="148"/>
      <c r="K392" s="131">
        <v>130000</v>
      </c>
      <c r="L392" s="131">
        <f t="shared" si="30"/>
        <v>0</v>
      </c>
      <c r="M392" s="131">
        <f t="shared" si="31"/>
        <v>130000</v>
      </c>
      <c r="N392" s="149"/>
      <c r="O392" s="150"/>
      <c r="P392" s="150"/>
      <c r="Q392" s="151"/>
      <c r="R392" s="152"/>
      <c r="S392" s="131">
        <f t="shared" si="32"/>
        <v>0</v>
      </c>
      <c r="T392" s="131">
        <v>30000</v>
      </c>
      <c r="U392" s="131">
        <v>30000</v>
      </c>
      <c r="V392" s="153"/>
      <c r="W392" s="55">
        <f t="shared" si="33"/>
        <v>130000</v>
      </c>
      <c r="X392" s="55"/>
      <c r="Y392" s="55">
        <v>1</v>
      </c>
      <c r="Z392" s="55"/>
      <c r="AA392" s="154">
        <f t="shared" si="34"/>
        <v>0</v>
      </c>
    </row>
    <row r="393" spans="1:32" s="120" customFormat="1" ht="40.200000000000003" customHeight="1">
      <c r="A393" s="70">
        <f>MAX(A$14:$A392)+1</f>
        <v>363</v>
      </c>
      <c r="B393" s="134" t="s">
        <v>1392</v>
      </c>
      <c r="C393" s="129" t="s">
        <v>138</v>
      </c>
      <c r="D393" s="78" t="s">
        <v>47</v>
      </c>
      <c r="E393" s="78" t="s">
        <v>47</v>
      </c>
      <c r="F393" s="78" t="s">
        <v>1387</v>
      </c>
      <c r="G393" s="135" t="s">
        <v>1363</v>
      </c>
      <c r="H393" s="147"/>
      <c r="I393" s="78" t="s">
        <v>568</v>
      </c>
      <c r="J393" s="148"/>
      <c r="K393" s="131">
        <v>390000</v>
      </c>
      <c r="L393" s="131">
        <f t="shared" si="30"/>
        <v>0</v>
      </c>
      <c r="M393" s="131">
        <f t="shared" si="31"/>
        <v>390000</v>
      </c>
      <c r="N393" s="149"/>
      <c r="O393" s="150"/>
      <c r="P393" s="150"/>
      <c r="Q393" s="151"/>
      <c r="R393" s="152"/>
      <c r="S393" s="131">
        <f t="shared" si="32"/>
        <v>0</v>
      </c>
      <c r="T393" s="131">
        <v>88000</v>
      </c>
      <c r="U393" s="131">
        <v>88000</v>
      </c>
      <c r="V393" s="153"/>
      <c r="W393" s="55">
        <f t="shared" si="33"/>
        <v>390000</v>
      </c>
      <c r="X393" s="55"/>
      <c r="Y393" s="55">
        <v>1</v>
      </c>
      <c r="Z393" s="55"/>
      <c r="AA393" s="154">
        <f t="shared" si="34"/>
        <v>0</v>
      </c>
    </row>
    <row r="394" spans="1:32" s="120" customFormat="1" ht="40.200000000000003" customHeight="1">
      <c r="A394" s="70">
        <f>MAX(A$14:$A393)+1</f>
        <v>364</v>
      </c>
      <c r="B394" s="134" t="s">
        <v>1362</v>
      </c>
      <c r="C394" s="129" t="s">
        <v>138</v>
      </c>
      <c r="D394" s="78" t="s">
        <v>47</v>
      </c>
      <c r="E394" s="78" t="s">
        <v>47</v>
      </c>
      <c r="F394" s="78" t="s">
        <v>1387</v>
      </c>
      <c r="G394" s="135" t="s">
        <v>1363</v>
      </c>
      <c r="H394" s="147" t="s">
        <v>1393</v>
      </c>
      <c r="I394" s="78" t="s">
        <v>568</v>
      </c>
      <c r="J394" s="148"/>
      <c r="K394" s="131">
        <v>390000</v>
      </c>
      <c r="L394" s="131">
        <f t="shared" si="30"/>
        <v>0</v>
      </c>
      <c r="M394" s="131">
        <f t="shared" si="31"/>
        <v>390000</v>
      </c>
      <c r="N394" s="149"/>
      <c r="O394" s="150"/>
      <c r="P394" s="150"/>
      <c r="Q394" s="151"/>
      <c r="R394" s="152"/>
      <c r="S394" s="131">
        <f t="shared" si="32"/>
        <v>0</v>
      </c>
      <c r="T394" s="131">
        <v>88000</v>
      </c>
      <c r="U394" s="131">
        <v>88000</v>
      </c>
      <c r="V394" s="153"/>
      <c r="W394" s="55">
        <f t="shared" si="33"/>
        <v>390000</v>
      </c>
      <c r="X394" s="55"/>
      <c r="Y394" s="55">
        <v>1</v>
      </c>
      <c r="Z394" s="55"/>
      <c r="AA394" s="154">
        <f t="shared" si="34"/>
        <v>0</v>
      </c>
    </row>
    <row r="395" spans="1:32" s="120" customFormat="1" ht="40.200000000000003" customHeight="1">
      <c r="A395" s="70">
        <f>MAX(A$14:$A394)+1</f>
        <v>365</v>
      </c>
      <c r="B395" s="134" t="s">
        <v>1359</v>
      </c>
      <c r="C395" s="129" t="s">
        <v>138</v>
      </c>
      <c r="D395" s="78" t="s">
        <v>47</v>
      </c>
      <c r="E395" s="78" t="s">
        <v>47</v>
      </c>
      <c r="F395" s="78" t="s">
        <v>1387</v>
      </c>
      <c r="G395" s="135" t="s">
        <v>1360</v>
      </c>
      <c r="H395" s="147" t="s">
        <v>1394</v>
      </c>
      <c r="I395" s="78" t="s">
        <v>568</v>
      </c>
      <c r="J395" s="148"/>
      <c r="K395" s="131">
        <v>429000</v>
      </c>
      <c r="L395" s="131">
        <f t="shared" si="30"/>
        <v>0</v>
      </c>
      <c r="M395" s="131">
        <f t="shared" si="31"/>
        <v>429000</v>
      </c>
      <c r="N395" s="149"/>
      <c r="O395" s="150"/>
      <c r="P395" s="150"/>
      <c r="Q395" s="151"/>
      <c r="R395" s="152"/>
      <c r="S395" s="131">
        <f t="shared" si="32"/>
        <v>0</v>
      </c>
      <c r="T395" s="131">
        <v>100000</v>
      </c>
      <c r="U395" s="131">
        <v>100000</v>
      </c>
      <c r="V395" s="153"/>
      <c r="W395" s="55">
        <f t="shared" si="33"/>
        <v>429000</v>
      </c>
      <c r="X395" s="55"/>
      <c r="Y395" s="55">
        <v>1</v>
      </c>
      <c r="Z395" s="55"/>
      <c r="AA395" s="154">
        <f t="shared" si="34"/>
        <v>0</v>
      </c>
    </row>
    <row r="396" spans="1:32" s="120" customFormat="1" ht="40.200000000000003" customHeight="1">
      <c r="A396" s="70">
        <f>MAX(A$14:$A395)+1</f>
        <v>366</v>
      </c>
      <c r="B396" s="134" t="s">
        <v>1395</v>
      </c>
      <c r="C396" s="129" t="s">
        <v>138</v>
      </c>
      <c r="D396" s="78" t="s">
        <v>84</v>
      </c>
      <c r="E396" s="78" t="s">
        <v>84</v>
      </c>
      <c r="F396" s="78" t="s">
        <v>1396</v>
      </c>
      <c r="G396" s="135" t="s">
        <v>1397</v>
      </c>
      <c r="H396" s="147" t="s">
        <v>1398</v>
      </c>
      <c r="I396" s="78" t="s">
        <v>607</v>
      </c>
      <c r="J396" s="148"/>
      <c r="K396" s="131">
        <v>25000</v>
      </c>
      <c r="L396" s="131">
        <f t="shared" si="30"/>
        <v>0</v>
      </c>
      <c r="M396" s="131">
        <f t="shared" si="31"/>
        <v>25000</v>
      </c>
      <c r="N396" s="149"/>
      <c r="O396" s="150"/>
      <c r="P396" s="150"/>
      <c r="Q396" s="151"/>
      <c r="R396" s="152"/>
      <c r="S396" s="131">
        <f t="shared" si="32"/>
        <v>0</v>
      </c>
      <c r="T396" s="131">
        <v>6000</v>
      </c>
      <c r="U396" s="131">
        <v>6000</v>
      </c>
      <c r="V396" s="153"/>
      <c r="W396" s="55">
        <f t="shared" si="33"/>
        <v>25000</v>
      </c>
      <c r="X396" s="55"/>
      <c r="Y396" s="55">
        <v>1</v>
      </c>
      <c r="Z396" s="55"/>
      <c r="AA396" s="154">
        <f t="shared" si="34"/>
        <v>0</v>
      </c>
    </row>
    <row r="397" spans="1:32" s="121" customFormat="1" ht="31.65" customHeight="1">
      <c r="A397" s="65" t="s">
        <v>1399</v>
      </c>
      <c r="B397" s="66" t="s">
        <v>570</v>
      </c>
      <c r="C397" s="116"/>
      <c r="D397" s="116"/>
      <c r="E397" s="116"/>
      <c r="F397" s="116"/>
      <c r="G397" s="116"/>
      <c r="H397" s="116"/>
      <c r="I397" s="116"/>
      <c r="J397" s="116"/>
      <c r="K397" s="172">
        <f>SUM(K398:K406)</f>
        <v>365800</v>
      </c>
      <c r="L397" s="172">
        <f t="shared" ref="L397:T397" si="35">SUM(L398:L406)</f>
        <v>0</v>
      </c>
      <c r="M397" s="172">
        <f t="shared" si="35"/>
        <v>365800</v>
      </c>
      <c r="N397" s="172">
        <f t="shared" si="35"/>
        <v>0</v>
      </c>
      <c r="O397" s="172">
        <f t="shared" si="35"/>
        <v>0</v>
      </c>
      <c r="P397" s="172">
        <f t="shared" si="35"/>
        <v>0</v>
      </c>
      <c r="Q397" s="172">
        <f t="shared" si="35"/>
        <v>0</v>
      </c>
      <c r="R397" s="172">
        <f t="shared" si="35"/>
        <v>0</v>
      </c>
      <c r="S397" s="172">
        <f t="shared" si="35"/>
        <v>365800</v>
      </c>
      <c r="T397" s="172">
        <f t="shared" si="35"/>
        <v>50</v>
      </c>
      <c r="U397" s="172">
        <f>SUM(U398:U406)</f>
        <v>50</v>
      </c>
      <c r="V397" s="173"/>
      <c r="W397" s="55"/>
      <c r="X397" s="55"/>
      <c r="Y397" s="55"/>
      <c r="Z397" s="55"/>
      <c r="AA397" s="120"/>
      <c r="AB397" s="120"/>
      <c r="AC397" s="120"/>
      <c r="AD397" s="120"/>
      <c r="AE397" s="120"/>
      <c r="AF397" s="120"/>
    </row>
    <row r="398" spans="1:32" s="120" customFormat="1" ht="40.200000000000003" customHeight="1">
      <c r="A398" s="70">
        <f>MAX(A$14:$A397)+1</f>
        <v>367</v>
      </c>
      <c r="B398" s="134" t="s">
        <v>1400</v>
      </c>
      <c r="C398" s="129" t="s">
        <v>572</v>
      </c>
      <c r="D398" s="78" t="s">
        <v>84</v>
      </c>
      <c r="E398" s="78" t="s">
        <v>84</v>
      </c>
      <c r="F398" s="78" t="s">
        <v>1401</v>
      </c>
      <c r="G398" s="135"/>
      <c r="H398" s="147" t="s">
        <v>1402</v>
      </c>
      <c r="I398" s="78">
        <v>2026</v>
      </c>
      <c r="J398" s="148"/>
      <c r="K398" s="131">
        <v>22000</v>
      </c>
      <c r="L398" s="131"/>
      <c r="M398" s="131">
        <v>22000</v>
      </c>
      <c r="N398" s="149"/>
      <c r="O398" s="150"/>
      <c r="P398" s="150"/>
      <c r="Q398" s="151"/>
      <c r="R398" s="152"/>
      <c r="S398" s="131">
        <f>M398</f>
        <v>22000</v>
      </c>
      <c r="T398" s="131">
        <v>50</v>
      </c>
      <c r="U398" s="131">
        <v>50</v>
      </c>
      <c r="V398" s="153"/>
      <c r="W398" s="55"/>
      <c r="X398" s="55"/>
      <c r="Y398" s="55"/>
      <c r="Z398" s="55"/>
      <c r="AA398" s="154"/>
    </row>
    <row r="399" spans="1:32" s="120" customFormat="1" ht="40.200000000000003" customHeight="1">
      <c r="A399" s="70">
        <f>MAX(A$14:$A398)+1</f>
        <v>368</v>
      </c>
      <c r="B399" s="134" t="s">
        <v>1403</v>
      </c>
      <c r="C399" s="129" t="s">
        <v>572</v>
      </c>
      <c r="D399" s="78" t="s">
        <v>84</v>
      </c>
      <c r="E399" s="78" t="s">
        <v>84</v>
      </c>
      <c r="F399" s="78" t="s">
        <v>1404</v>
      </c>
      <c r="G399" s="135"/>
      <c r="H399" s="147" t="s">
        <v>1405</v>
      </c>
      <c r="I399" s="78" t="s">
        <v>607</v>
      </c>
      <c r="J399" s="148"/>
      <c r="K399" s="131">
        <v>35000</v>
      </c>
      <c r="L399" s="131"/>
      <c r="M399" s="131">
        <v>35000</v>
      </c>
      <c r="N399" s="149"/>
      <c r="O399" s="150"/>
      <c r="P399" s="150"/>
      <c r="Q399" s="151"/>
      <c r="R399" s="152"/>
      <c r="S399" s="131">
        <v>35000</v>
      </c>
      <c r="T399" s="131"/>
      <c r="U399" s="131"/>
      <c r="V399" s="153"/>
      <c r="W399" s="55"/>
      <c r="X399" s="55"/>
      <c r="Y399" s="55"/>
      <c r="Z399" s="55"/>
      <c r="AA399" s="154"/>
    </row>
    <row r="400" spans="1:32" s="120" customFormat="1" ht="40.200000000000003" customHeight="1">
      <c r="A400" s="70">
        <f>MAX(A$14:$A399)+1</f>
        <v>369</v>
      </c>
      <c r="B400" s="134" t="s">
        <v>1406</v>
      </c>
      <c r="C400" s="129" t="s">
        <v>572</v>
      </c>
      <c r="D400" s="78" t="s">
        <v>84</v>
      </c>
      <c r="E400" s="78" t="s">
        <v>84</v>
      </c>
      <c r="F400" s="78" t="s">
        <v>1407</v>
      </c>
      <c r="G400" s="135"/>
      <c r="H400" s="147" t="s">
        <v>1408</v>
      </c>
      <c r="I400" s="78">
        <v>2027</v>
      </c>
      <c r="J400" s="148"/>
      <c r="K400" s="131">
        <v>8500</v>
      </c>
      <c r="L400" s="131"/>
      <c r="M400" s="131">
        <v>8500</v>
      </c>
      <c r="N400" s="149"/>
      <c r="O400" s="150"/>
      <c r="P400" s="150"/>
      <c r="Q400" s="151"/>
      <c r="R400" s="152"/>
      <c r="S400" s="131">
        <v>8500</v>
      </c>
      <c r="T400" s="131"/>
      <c r="U400" s="131"/>
      <c r="V400" s="153"/>
      <c r="W400" s="55"/>
      <c r="X400" s="55"/>
      <c r="Y400" s="55"/>
      <c r="Z400" s="55"/>
      <c r="AA400" s="154"/>
    </row>
    <row r="401" spans="1:32" s="120" customFormat="1" ht="54" customHeight="1">
      <c r="A401" s="70">
        <f>MAX(A$14:$A400)+1</f>
        <v>370</v>
      </c>
      <c r="B401" s="134" t="s">
        <v>1409</v>
      </c>
      <c r="C401" s="129" t="s">
        <v>572</v>
      </c>
      <c r="D401" s="78" t="s">
        <v>47</v>
      </c>
      <c r="E401" s="78" t="s">
        <v>47</v>
      </c>
      <c r="F401" s="78" t="s">
        <v>1410</v>
      </c>
      <c r="G401" s="135"/>
      <c r="H401" s="147" t="s">
        <v>1411</v>
      </c>
      <c r="I401" s="78" t="s">
        <v>728</v>
      </c>
      <c r="J401" s="148"/>
      <c r="K401" s="131">
        <v>210000</v>
      </c>
      <c r="L401" s="131"/>
      <c r="M401" s="131">
        <v>210000</v>
      </c>
      <c r="N401" s="149"/>
      <c r="O401" s="150"/>
      <c r="P401" s="150"/>
      <c r="Q401" s="151"/>
      <c r="R401" s="152"/>
      <c r="S401" s="131">
        <f>M401</f>
        <v>210000</v>
      </c>
      <c r="T401" s="131"/>
      <c r="U401" s="131"/>
      <c r="V401" s="153"/>
      <c r="W401" s="55"/>
      <c r="X401" s="55"/>
      <c r="Y401" s="55"/>
      <c r="Z401" s="55"/>
      <c r="AA401" s="154"/>
    </row>
    <row r="402" spans="1:32" s="120" customFormat="1" ht="40.200000000000003" customHeight="1">
      <c r="A402" s="70">
        <f>MAX(A$14:$A401)+1</f>
        <v>371</v>
      </c>
      <c r="B402" s="134" t="s">
        <v>1412</v>
      </c>
      <c r="C402" s="129" t="s">
        <v>572</v>
      </c>
      <c r="D402" s="78" t="s">
        <v>84</v>
      </c>
      <c r="E402" s="78" t="s">
        <v>84</v>
      </c>
      <c r="F402" s="78" t="s">
        <v>1413</v>
      </c>
      <c r="G402" s="135"/>
      <c r="H402" s="147" t="s">
        <v>1408</v>
      </c>
      <c r="I402" s="78" t="s">
        <v>728</v>
      </c>
      <c r="J402" s="148"/>
      <c r="K402" s="131">
        <v>35000</v>
      </c>
      <c r="L402" s="131"/>
      <c r="M402" s="131">
        <v>35000</v>
      </c>
      <c r="N402" s="149"/>
      <c r="O402" s="150"/>
      <c r="P402" s="150"/>
      <c r="Q402" s="151"/>
      <c r="R402" s="152"/>
      <c r="S402" s="131">
        <v>35000</v>
      </c>
      <c r="T402" s="131"/>
      <c r="U402" s="131"/>
      <c r="V402" s="153"/>
      <c r="W402" s="55"/>
      <c r="X402" s="55"/>
      <c r="Y402" s="55"/>
      <c r="Z402" s="55"/>
      <c r="AA402" s="154"/>
    </row>
    <row r="403" spans="1:32" s="120" customFormat="1" ht="40.200000000000003" customHeight="1">
      <c r="A403" s="70">
        <f>MAX(A$14:$A402)+1</f>
        <v>372</v>
      </c>
      <c r="B403" s="134" t="s">
        <v>1414</v>
      </c>
      <c r="C403" s="129" t="s">
        <v>572</v>
      </c>
      <c r="D403" s="78" t="s">
        <v>84</v>
      </c>
      <c r="E403" s="78" t="s">
        <v>84</v>
      </c>
      <c r="F403" s="78" t="s">
        <v>1415</v>
      </c>
      <c r="G403" s="135"/>
      <c r="H403" s="147" t="s">
        <v>1416</v>
      </c>
      <c r="I403" s="78" t="s">
        <v>738</v>
      </c>
      <c r="J403" s="148"/>
      <c r="K403" s="131">
        <v>30000</v>
      </c>
      <c r="L403" s="131"/>
      <c r="M403" s="131">
        <v>30000</v>
      </c>
      <c r="N403" s="149"/>
      <c r="O403" s="150"/>
      <c r="P403" s="150"/>
      <c r="Q403" s="151"/>
      <c r="R403" s="152"/>
      <c r="S403" s="131">
        <v>30000</v>
      </c>
      <c r="T403" s="131"/>
      <c r="U403" s="131"/>
      <c r="V403" s="153"/>
      <c r="W403" s="55"/>
      <c r="X403" s="55"/>
      <c r="Y403" s="55"/>
      <c r="Z403" s="55"/>
      <c r="AA403" s="154"/>
    </row>
    <row r="404" spans="1:32" s="120" customFormat="1" ht="65.25" customHeight="1">
      <c r="A404" s="70">
        <f>MAX(A$14:$A403)+1</f>
        <v>373</v>
      </c>
      <c r="B404" s="134" t="s">
        <v>1417</v>
      </c>
      <c r="C404" s="129" t="s">
        <v>572</v>
      </c>
      <c r="D404" s="78" t="s">
        <v>84</v>
      </c>
      <c r="E404" s="78" t="s">
        <v>84</v>
      </c>
      <c r="F404" s="78" t="s">
        <v>573</v>
      </c>
      <c r="G404" s="135"/>
      <c r="H404" s="147" t="s">
        <v>1418</v>
      </c>
      <c r="I404" s="78" t="s">
        <v>738</v>
      </c>
      <c r="J404" s="148"/>
      <c r="K404" s="131">
        <v>2300</v>
      </c>
      <c r="L404" s="131"/>
      <c r="M404" s="131">
        <v>2300</v>
      </c>
      <c r="N404" s="149"/>
      <c r="O404" s="150"/>
      <c r="P404" s="150"/>
      <c r="Q404" s="151"/>
      <c r="R404" s="152"/>
      <c r="S404" s="131">
        <v>2300</v>
      </c>
      <c r="T404" s="131"/>
      <c r="U404" s="131"/>
      <c r="V404" s="153"/>
      <c r="W404" s="55"/>
      <c r="X404" s="55"/>
      <c r="Y404" s="55"/>
      <c r="Z404" s="55"/>
      <c r="AA404" s="154"/>
    </row>
    <row r="405" spans="1:32" s="120" customFormat="1" ht="40.200000000000003" customHeight="1">
      <c r="A405" s="70">
        <f>MAX(A$14:$A404)+1</f>
        <v>374</v>
      </c>
      <c r="B405" s="134" t="s">
        <v>1419</v>
      </c>
      <c r="C405" s="129" t="s">
        <v>572</v>
      </c>
      <c r="D405" s="78" t="s">
        <v>84</v>
      </c>
      <c r="E405" s="78" t="s">
        <v>84</v>
      </c>
      <c r="F405" s="78" t="s">
        <v>1404</v>
      </c>
      <c r="G405" s="135"/>
      <c r="H405" s="147" t="s">
        <v>1420</v>
      </c>
      <c r="I405" s="78">
        <v>2028</v>
      </c>
      <c r="J405" s="148"/>
      <c r="K405" s="131">
        <v>3000</v>
      </c>
      <c r="L405" s="131"/>
      <c r="M405" s="131">
        <v>3000</v>
      </c>
      <c r="N405" s="149"/>
      <c r="O405" s="150"/>
      <c r="P405" s="150"/>
      <c r="Q405" s="151"/>
      <c r="R405" s="152"/>
      <c r="S405" s="131">
        <v>3000</v>
      </c>
      <c r="T405" s="131"/>
      <c r="U405" s="131"/>
      <c r="V405" s="153"/>
      <c r="W405" s="55"/>
      <c r="X405" s="55"/>
      <c r="Y405" s="55"/>
      <c r="Z405" s="55"/>
      <c r="AA405" s="154"/>
    </row>
    <row r="406" spans="1:32" s="120" customFormat="1" ht="40.200000000000003" customHeight="1">
      <c r="A406" s="70">
        <f>MAX(A$14:$A405)+1</f>
        <v>375</v>
      </c>
      <c r="B406" s="134" t="s">
        <v>1421</v>
      </c>
      <c r="C406" s="129" t="s">
        <v>572</v>
      </c>
      <c r="D406" s="78" t="s">
        <v>84</v>
      </c>
      <c r="E406" s="78" t="s">
        <v>84</v>
      </c>
      <c r="F406" s="78" t="s">
        <v>1422</v>
      </c>
      <c r="G406" s="135"/>
      <c r="H406" s="147" t="s">
        <v>1423</v>
      </c>
      <c r="I406" s="78">
        <v>2026</v>
      </c>
      <c r="J406" s="148"/>
      <c r="K406" s="131">
        <f>L406+M406</f>
        <v>20000</v>
      </c>
      <c r="L406" s="131"/>
      <c r="M406" s="131">
        <v>20000</v>
      </c>
      <c r="N406" s="149"/>
      <c r="O406" s="150"/>
      <c r="P406" s="150"/>
      <c r="Q406" s="151"/>
      <c r="R406" s="152"/>
      <c r="S406" s="131">
        <v>20000</v>
      </c>
      <c r="T406" s="131"/>
      <c r="U406" s="131"/>
      <c r="V406" s="153"/>
      <c r="W406" s="55"/>
      <c r="X406" s="55"/>
      <c r="Y406" s="55"/>
      <c r="Z406" s="55"/>
      <c r="AA406" s="154"/>
    </row>
    <row r="407" spans="1:32" s="121" customFormat="1" ht="31.65" customHeight="1">
      <c r="A407" s="65" t="s">
        <v>1424</v>
      </c>
      <c r="B407" s="66" t="s">
        <v>1425</v>
      </c>
      <c r="C407" s="116"/>
      <c r="D407" s="116"/>
      <c r="E407" s="116"/>
      <c r="F407" s="116"/>
      <c r="G407" s="116"/>
      <c r="H407" s="116"/>
      <c r="I407" s="116"/>
      <c r="J407" s="116"/>
      <c r="K407" s="172">
        <f>SUM(K408:K423)</f>
        <v>350900</v>
      </c>
      <c r="L407" s="172">
        <f t="shared" ref="L407:T407" si="36">SUM(L408:L423)</f>
        <v>0</v>
      </c>
      <c r="M407" s="172">
        <f t="shared" si="36"/>
        <v>350900</v>
      </c>
      <c r="N407" s="172">
        <f t="shared" si="36"/>
        <v>0</v>
      </c>
      <c r="O407" s="172">
        <f t="shared" si="36"/>
        <v>0</v>
      </c>
      <c r="P407" s="172">
        <f t="shared" si="36"/>
        <v>0</v>
      </c>
      <c r="Q407" s="172">
        <f t="shared" si="36"/>
        <v>0</v>
      </c>
      <c r="R407" s="172">
        <f t="shared" si="36"/>
        <v>0</v>
      </c>
      <c r="S407" s="172">
        <f t="shared" si="36"/>
        <v>350900</v>
      </c>
      <c r="T407" s="172">
        <f t="shared" si="36"/>
        <v>55750</v>
      </c>
      <c r="U407" s="172">
        <f>SUM(U408:U423)</f>
        <v>55750</v>
      </c>
      <c r="V407" s="173"/>
      <c r="W407" s="55"/>
      <c r="X407" s="55"/>
      <c r="Y407" s="55"/>
      <c r="Z407" s="55"/>
      <c r="AA407" s="120"/>
      <c r="AB407" s="120"/>
      <c r="AC407" s="120"/>
      <c r="AD407" s="120"/>
      <c r="AE407" s="120"/>
      <c r="AF407" s="120"/>
    </row>
    <row r="408" spans="1:32" s="120" customFormat="1" ht="40.200000000000003" customHeight="1">
      <c r="A408" s="70">
        <f>MAX(A$14:$A407)+1</f>
        <v>376</v>
      </c>
      <c r="B408" s="134" t="s">
        <v>1426</v>
      </c>
      <c r="C408" s="129" t="s">
        <v>632</v>
      </c>
      <c r="D408" s="78" t="s">
        <v>84</v>
      </c>
      <c r="E408" s="78" t="s">
        <v>84</v>
      </c>
      <c r="F408" s="78" t="s">
        <v>353</v>
      </c>
      <c r="G408" s="135" t="s">
        <v>1427</v>
      </c>
      <c r="H408" s="147" t="s">
        <v>1428</v>
      </c>
      <c r="I408" s="78" t="s">
        <v>607</v>
      </c>
      <c r="J408" s="148"/>
      <c r="K408" s="131">
        <v>14500</v>
      </c>
      <c r="L408" s="131"/>
      <c r="M408" s="131">
        <v>14500</v>
      </c>
      <c r="N408" s="149"/>
      <c r="O408" s="150"/>
      <c r="P408" s="150"/>
      <c r="Q408" s="151"/>
      <c r="R408" s="152"/>
      <c r="S408" s="131">
        <v>14500</v>
      </c>
      <c r="T408" s="131">
        <v>7250</v>
      </c>
      <c r="U408" s="131">
        <v>7250</v>
      </c>
      <c r="V408" s="153"/>
      <c r="W408" s="55"/>
      <c r="X408" s="55"/>
      <c r="Y408" s="55"/>
      <c r="Z408" s="55"/>
      <c r="AA408" s="154"/>
    </row>
    <row r="409" spans="1:32" s="120" customFormat="1" ht="40.200000000000003" customHeight="1">
      <c r="A409" s="70">
        <f>MAX(A$14:$A408)+1</f>
        <v>377</v>
      </c>
      <c r="B409" s="134" t="s">
        <v>1429</v>
      </c>
      <c r="C409" s="129" t="s">
        <v>632</v>
      </c>
      <c r="D409" s="78" t="s">
        <v>84</v>
      </c>
      <c r="E409" s="78" t="s">
        <v>84</v>
      </c>
      <c r="F409" s="78" t="s">
        <v>353</v>
      </c>
      <c r="G409" s="135" t="s">
        <v>1430</v>
      </c>
      <c r="H409" s="147" t="s">
        <v>1428</v>
      </c>
      <c r="I409" s="78" t="s">
        <v>568</v>
      </c>
      <c r="J409" s="148"/>
      <c r="K409" s="131">
        <v>30000</v>
      </c>
      <c r="L409" s="131"/>
      <c r="M409" s="131">
        <v>30000</v>
      </c>
      <c r="N409" s="149"/>
      <c r="O409" s="150"/>
      <c r="P409" s="150"/>
      <c r="Q409" s="151"/>
      <c r="R409" s="152"/>
      <c r="S409" s="131">
        <v>30000</v>
      </c>
      <c r="T409" s="131">
        <v>15000</v>
      </c>
      <c r="U409" s="131">
        <v>15000</v>
      </c>
      <c r="V409" s="153"/>
      <c r="W409" s="55"/>
      <c r="X409" s="55"/>
      <c r="Y409" s="55"/>
      <c r="Z409" s="55"/>
      <c r="AA409" s="154"/>
    </row>
    <row r="410" spans="1:32" s="120" customFormat="1" ht="40.200000000000003" customHeight="1">
      <c r="A410" s="70">
        <f>MAX(A$14:$A409)+1</f>
        <v>378</v>
      </c>
      <c r="B410" s="134" t="s">
        <v>1431</v>
      </c>
      <c r="C410" s="129" t="s">
        <v>632</v>
      </c>
      <c r="D410" s="78" t="s">
        <v>84</v>
      </c>
      <c r="E410" s="78" t="s">
        <v>84</v>
      </c>
      <c r="F410" s="78" t="s">
        <v>353</v>
      </c>
      <c r="G410" s="135" t="s">
        <v>1432</v>
      </c>
      <c r="H410" s="147" t="s">
        <v>1433</v>
      </c>
      <c r="I410" s="78" t="s">
        <v>568</v>
      </c>
      <c r="J410" s="148"/>
      <c r="K410" s="131">
        <v>6000</v>
      </c>
      <c r="L410" s="131"/>
      <c r="M410" s="131">
        <v>6000</v>
      </c>
      <c r="N410" s="149"/>
      <c r="O410" s="150"/>
      <c r="P410" s="150"/>
      <c r="Q410" s="151"/>
      <c r="R410" s="152"/>
      <c r="S410" s="131">
        <v>6000</v>
      </c>
      <c r="T410" s="131">
        <v>6000</v>
      </c>
      <c r="U410" s="131">
        <v>6000</v>
      </c>
      <c r="V410" s="153"/>
      <c r="W410" s="55"/>
      <c r="X410" s="55"/>
      <c r="Y410" s="55"/>
      <c r="Z410" s="55"/>
      <c r="AA410" s="154"/>
    </row>
    <row r="411" spans="1:32" s="120" customFormat="1" ht="40.200000000000003" customHeight="1">
      <c r="A411" s="70">
        <f>MAX(A$14:$A410)+1</f>
        <v>379</v>
      </c>
      <c r="B411" s="134" t="s">
        <v>1434</v>
      </c>
      <c r="C411" s="129" t="s">
        <v>632</v>
      </c>
      <c r="D411" s="78" t="s">
        <v>84</v>
      </c>
      <c r="E411" s="78" t="s">
        <v>84</v>
      </c>
      <c r="F411" s="78" t="s">
        <v>1374</v>
      </c>
      <c r="G411" s="135" t="s">
        <v>1435</v>
      </c>
      <c r="H411" s="147" t="s">
        <v>1436</v>
      </c>
      <c r="I411" s="78" t="s">
        <v>612</v>
      </c>
      <c r="J411" s="148"/>
      <c r="K411" s="131">
        <v>15000</v>
      </c>
      <c r="L411" s="131"/>
      <c r="M411" s="131">
        <v>15000</v>
      </c>
      <c r="N411" s="149"/>
      <c r="O411" s="150"/>
      <c r="P411" s="150"/>
      <c r="Q411" s="151"/>
      <c r="R411" s="152"/>
      <c r="S411" s="131">
        <v>15000</v>
      </c>
      <c r="T411" s="131"/>
      <c r="U411" s="131"/>
      <c r="V411" s="153"/>
      <c r="W411" s="55"/>
      <c r="X411" s="55"/>
      <c r="Y411" s="55"/>
      <c r="Z411" s="55"/>
      <c r="AA411" s="154"/>
    </row>
    <row r="412" spans="1:32" s="120" customFormat="1" ht="40.200000000000003" customHeight="1">
      <c r="A412" s="214">
        <f>MAX(A$14:$A411)+1</f>
        <v>380</v>
      </c>
      <c r="B412" s="134" t="s">
        <v>1437</v>
      </c>
      <c r="C412" s="129" t="s">
        <v>632</v>
      </c>
      <c r="D412" s="78" t="s">
        <v>84</v>
      </c>
      <c r="E412" s="78"/>
      <c r="F412" s="78" t="s">
        <v>1438</v>
      </c>
      <c r="G412" s="135" t="s">
        <v>1390</v>
      </c>
      <c r="H412" s="147" t="s">
        <v>1439</v>
      </c>
      <c r="I412" s="78" t="s">
        <v>728</v>
      </c>
      <c r="J412" s="148"/>
      <c r="K412" s="131">
        <v>40000</v>
      </c>
      <c r="L412" s="131"/>
      <c r="M412" s="131">
        <v>40000</v>
      </c>
      <c r="N412" s="149"/>
      <c r="O412" s="150"/>
      <c r="P412" s="150"/>
      <c r="Q412" s="151"/>
      <c r="R412" s="152"/>
      <c r="S412" s="131">
        <v>40000</v>
      </c>
      <c r="T412" s="131"/>
      <c r="U412" s="131"/>
      <c r="V412" s="153"/>
      <c r="W412" s="55"/>
      <c r="X412" s="55"/>
      <c r="Y412" s="55"/>
      <c r="Z412" s="55"/>
      <c r="AA412" s="154"/>
    </row>
    <row r="413" spans="1:32" s="120" customFormat="1" ht="40.200000000000003" customHeight="1">
      <c r="A413" s="70">
        <f>MAX(A$14:$A412)+1</f>
        <v>381</v>
      </c>
      <c r="B413" s="134" t="s">
        <v>1440</v>
      </c>
      <c r="C413" s="129" t="s">
        <v>632</v>
      </c>
      <c r="D413" s="78" t="s">
        <v>84</v>
      </c>
      <c r="E413" s="78" t="s">
        <v>84</v>
      </c>
      <c r="F413" s="78" t="s">
        <v>1180</v>
      </c>
      <c r="G413" s="135"/>
      <c r="H413" s="147" t="s">
        <v>1441</v>
      </c>
      <c r="I413" s="78" t="s">
        <v>607</v>
      </c>
      <c r="J413" s="148"/>
      <c r="K413" s="131">
        <v>19500</v>
      </c>
      <c r="L413" s="131"/>
      <c r="M413" s="131">
        <f>K413</f>
        <v>19500</v>
      </c>
      <c r="N413" s="149"/>
      <c r="O413" s="150"/>
      <c r="P413" s="150"/>
      <c r="Q413" s="151"/>
      <c r="R413" s="152"/>
      <c r="S413" s="131">
        <v>19500</v>
      </c>
      <c r="T413" s="131">
        <v>9500</v>
      </c>
      <c r="U413" s="131">
        <v>9500</v>
      </c>
      <c r="V413" s="153"/>
      <c r="W413" s="55"/>
      <c r="X413" s="55"/>
      <c r="Y413" s="55"/>
      <c r="Z413" s="55"/>
      <c r="AA413" s="154"/>
    </row>
    <row r="414" spans="1:32" s="120" customFormat="1" ht="40.200000000000003" customHeight="1">
      <c r="A414" s="70">
        <f>MAX(A$14:$A413)+1</f>
        <v>382</v>
      </c>
      <c r="B414" s="134" t="s">
        <v>1442</v>
      </c>
      <c r="C414" s="129" t="s">
        <v>632</v>
      </c>
      <c r="D414" s="78" t="s">
        <v>84</v>
      </c>
      <c r="E414" s="78" t="s">
        <v>84</v>
      </c>
      <c r="F414" s="78" t="s">
        <v>1190</v>
      </c>
      <c r="G414" s="135"/>
      <c r="H414" s="147" t="s">
        <v>1443</v>
      </c>
      <c r="I414" s="78" t="s">
        <v>607</v>
      </c>
      <c r="J414" s="148"/>
      <c r="K414" s="131">
        <v>18000</v>
      </c>
      <c r="L414" s="131"/>
      <c r="M414" s="131">
        <v>18000</v>
      </c>
      <c r="N414" s="149"/>
      <c r="O414" s="150"/>
      <c r="P414" s="150"/>
      <c r="Q414" s="151"/>
      <c r="R414" s="152"/>
      <c r="S414" s="131">
        <v>18000</v>
      </c>
      <c r="T414" s="131">
        <v>18000</v>
      </c>
      <c r="U414" s="131">
        <v>18000</v>
      </c>
      <c r="V414" s="153"/>
      <c r="W414" s="55"/>
      <c r="X414" s="55"/>
      <c r="Y414" s="55"/>
      <c r="Z414" s="55"/>
      <c r="AA414" s="154"/>
    </row>
    <row r="415" spans="1:32" s="120" customFormat="1" ht="40.200000000000003" customHeight="1">
      <c r="A415" s="70">
        <f>MAX(A$14:$A414)+1</f>
        <v>383</v>
      </c>
      <c r="B415" s="134" t="s">
        <v>1444</v>
      </c>
      <c r="C415" s="129" t="s">
        <v>632</v>
      </c>
      <c r="D415" s="78" t="s">
        <v>84</v>
      </c>
      <c r="E415" s="78" t="s">
        <v>84</v>
      </c>
      <c r="F415" s="78" t="s">
        <v>1180</v>
      </c>
      <c r="G415" s="135"/>
      <c r="H415" s="147" t="s">
        <v>1443</v>
      </c>
      <c r="I415" s="78" t="s">
        <v>728</v>
      </c>
      <c r="J415" s="148"/>
      <c r="K415" s="131">
        <v>18000</v>
      </c>
      <c r="L415" s="131"/>
      <c r="M415" s="131">
        <f>K415</f>
        <v>18000</v>
      </c>
      <c r="N415" s="149"/>
      <c r="O415" s="150"/>
      <c r="P415" s="150"/>
      <c r="Q415" s="151"/>
      <c r="R415" s="152"/>
      <c r="S415" s="131">
        <v>18000</v>
      </c>
      <c r="T415" s="131"/>
      <c r="U415" s="131"/>
      <c r="V415" s="153"/>
      <c r="W415" s="55"/>
      <c r="X415" s="55"/>
      <c r="Y415" s="55"/>
      <c r="Z415" s="55"/>
      <c r="AA415" s="154"/>
    </row>
    <row r="416" spans="1:32" s="120" customFormat="1" ht="40.200000000000003" customHeight="1">
      <c r="A416" s="70">
        <f>MAX(A$14:$A415)+1</f>
        <v>384</v>
      </c>
      <c r="B416" s="134" t="s">
        <v>1445</v>
      </c>
      <c r="C416" s="129" t="s">
        <v>632</v>
      </c>
      <c r="D416" s="78" t="s">
        <v>84</v>
      </c>
      <c r="E416" s="78" t="s">
        <v>84</v>
      </c>
      <c r="F416" s="78" t="s">
        <v>1180</v>
      </c>
      <c r="G416" s="135"/>
      <c r="H416" s="147" t="s">
        <v>1441</v>
      </c>
      <c r="I416" s="78" t="s">
        <v>547</v>
      </c>
      <c r="J416" s="148"/>
      <c r="K416" s="131">
        <v>18000</v>
      </c>
      <c r="L416" s="131"/>
      <c r="M416" s="131">
        <f>K416</f>
        <v>18000</v>
      </c>
      <c r="N416" s="149"/>
      <c r="O416" s="150"/>
      <c r="P416" s="150"/>
      <c r="Q416" s="151"/>
      <c r="R416" s="152"/>
      <c r="S416" s="131">
        <v>18000</v>
      </c>
      <c r="T416" s="131"/>
      <c r="U416" s="131"/>
      <c r="V416" s="153"/>
      <c r="W416" s="55"/>
      <c r="X416" s="55"/>
      <c r="Y416" s="55"/>
      <c r="Z416" s="55"/>
      <c r="AA416" s="154"/>
    </row>
    <row r="417" spans="1:32" s="120" customFormat="1" ht="40.200000000000003" customHeight="1">
      <c r="A417" s="70">
        <f>MAX(A$14:$A416)+1</f>
        <v>385</v>
      </c>
      <c r="B417" s="134" t="s">
        <v>1446</v>
      </c>
      <c r="C417" s="129" t="s">
        <v>632</v>
      </c>
      <c r="D417" s="78" t="s">
        <v>84</v>
      </c>
      <c r="E417" s="78" t="s">
        <v>84</v>
      </c>
      <c r="F417" s="78" t="s">
        <v>1190</v>
      </c>
      <c r="G417" s="135"/>
      <c r="H417" s="147" t="s">
        <v>1447</v>
      </c>
      <c r="I417" s="78" t="s">
        <v>728</v>
      </c>
      <c r="J417" s="148"/>
      <c r="K417" s="131">
        <v>900</v>
      </c>
      <c r="L417" s="131"/>
      <c r="M417" s="131">
        <f t="shared" ref="M417:M422" si="37">K417</f>
        <v>900</v>
      </c>
      <c r="N417" s="149"/>
      <c r="O417" s="150"/>
      <c r="P417" s="150"/>
      <c r="Q417" s="151"/>
      <c r="R417" s="152"/>
      <c r="S417" s="131">
        <v>900</v>
      </c>
      <c r="T417" s="131"/>
      <c r="U417" s="131"/>
      <c r="V417" s="153"/>
      <c r="W417" s="55"/>
      <c r="X417" s="55"/>
      <c r="Y417" s="55"/>
      <c r="Z417" s="55"/>
      <c r="AA417" s="154"/>
    </row>
    <row r="418" spans="1:32" s="120" customFormat="1" ht="40.200000000000003" customHeight="1">
      <c r="A418" s="70">
        <f>MAX(A$14:$A417)+1</f>
        <v>386</v>
      </c>
      <c r="B418" s="134" t="s">
        <v>1448</v>
      </c>
      <c r="C418" s="129" t="s">
        <v>632</v>
      </c>
      <c r="D418" s="78" t="s">
        <v>84</v>
      </c>
      <c r="E418" s="78" t="s">
        <v>84</v>
      </c>
      <c r="F418" s="78" t="s">
        <v>1190</v>
      </c>
      <c r="G418" s="135"/>
      <c r="H418" s="147" t="s">
        <v>1447</v>
      </c>
      <c r="I418" s="78" t="s">
        <v>668</v>
      </c>
      <c r="J418" s="148"/>
      <c r="K418" s="131">
        <v>42000</v>
      </c>
      <c r="L418" s="131"/>
      <c r="M418" s="131">
        <f t="shared" si="37"/>
        <v>42000</v>
      </c>
      <c r="N418" s="149"/>
      <c r="O418" s="150"/>
      <c r="P418" s="150"/>
      <c r="Q418" s="151"/>
      <c r="R418" s="152"/>
      <c r="S418" s="131">
        <v>42000</v>
      </c>
      <c r="T418" s="131"/>
      <c r="U418" s="131"/>
      <c r="V418" s="153"/>
      <c r="W418" s="55"/>
      <c r="X418" s="55"/>
      <c r="Y418" s="55"/>
      <c r="Z418" s="55"/>
      <c r="AA418" s="154"/>
    </row>
    <row r="419" spans="1:32" s="120" customFormat="1" ht="40.200000000000003" customHeight="1">
      <c r="A419" s="70">
        <f>MAX(A$14:$A418)+1</f>
        <v>387</v>
      </c>
      <c r="B419" s="134" t="s">
        <v>1449</v>
      </c>
      <c r="C419" s="129" t="s">
        <v>632</v>
      </c>
      <c r="D419" s="78" t="s">
        <v>84</v>
      </c>
      <c r="E419" s="78" t="s">
        <v>84</v>
      </c>
      <c r="F419" s="78" t="s">
        <v>1190</v>
      </c>
      <c r="G419" s="135"/>
      <c r="H419" s="147" t="s">
        <v>1447</v>
      </c>
      <c r="I419" s="78" t="s">
        <v>728</v>
      </c>
      <c r="J419" s="148"/>
      <c r="K419" s="131">
        <v>2500</v>
      </c>
      <c r="L419" s="131"/>
      <c r="M419" s="131">
        <f t="shared" si="37"/>
        <v>2500</v>
      </c>
      <c r="N419" s="149"/>
      <c r="O419" s="150"/>
      <c r="P419" s="150"/>
      <c r="Q419" s="151"/>
      <c r="R419" s="152"/>
      <c r="S419" s="131">
        <v>2500</v>
      </c>
      <c r="T419" s="131"/>
      <c r="U419" s="131"/>
      <c r="V419" s="153"/>
      <c r="W419" s="55"/>
      <c r="X419" s="55"/>
      <c r="Y419" s="55"/>
      <c r="Z419" s="55"/>
      <c r="AA419" s="154"/>
    </row>
    <row r="420" spans="1:32" s="120" customFormat="1" ht="40.200000000000003" customHeight="1">
      <c r="A420" s="70">
        <f>MAX(A$14:$A419)+1</f>
        <v>388</v>
      </c>
      <c r="B420" s="134" t="s">
        <v>1450</v>
      </c>
      <c r="C420" s="129" t="s">
        <v>632</v>
      </c>
      <c r="D420" s="78" t="s">
        <v>84</v>
      </c>
      <c r="E420" s="78" t="s">
        <v>84</v>
      </c>
      <c r="F420" s="78" t="s">
        <v>1190</v>
      </c>
      <c r="G420" s="135"/>
      <c r="H420" s="147" t="s">
        <v>1447</v>
      </c>
      <c r="I420" s="78" t="s">
        <v>668</v>
      </c>
      <c r="J420" s="148"/>
      <c r="K420" s="131">
        <v>60000</v>
      </c>
      <c r="L420" s="131"/>
      <c r="M420" s="131">
        <f t="shared" si="37"/>
        <v>60000</v>
      </c>
      <c r="N420" s="149"/>
      <c r="O420" s="150"/>
      <c r="P420" s="150"/>
      <c r="Q420" s="151"/>
      <c r="R420" s="152"/>
      <c r="S420" s="131">
        <v>60000</v>
      </c>
      <c r="T420" s="131"/>
      <c r="U420" s="131"/>
      <c r="V420" s="153"/>
      <c r="W420" s="55"/>
      <c r="X420" s="55"/>
      <c r="Y420" s="55"/>
      <c r="Z420" s="55"/>
      <c r="AA420" s="154"/>
    </row>
    <row r="421" spans="1:32" s="120" customFormat="1" ht="40.200000000000003" customHeight="1">
      <c r="A421" s="70">
        <f>MAX(A$14:$A420)+1</f>
        <v>389</v>
      </c>
      <c r="B421" s="134" t="s">
        <v>1451</v>
      </c>
      <c r="C421" s="129" t="s">
        <v>632</v>
      </c>
      <c r="D421" s="78" t="s">
        <v>84</v>
      </c>
      <c r="E421" s="78" t="s">
        <v>84</v>
      </c>
      <c r="F421" s="78" t="s">
        <v>1180</v>
      </c>
      <c r="G421" s="135"/>
      <c r="H421" s="147" t="s">
        <v>1447</v>
      </c>
      <c r="I421" s="78" t="s">
        <v>728</v>
      </c>
      <c r="J421" s="148"/>
      <c r="K421" s="131">
        <v>2000</v>
      </c>
      <c r="L421" s="131"/>
      <c r="M421" s="131">
        <f t="shared" si="37"/>
        <v>2000</v>
      </c>
      <c r="N421" s="149"/>
      <c r="O421" s="150"/>
      <c r="P421" s="150"/>
      <c r="Q421" s="151"/>
      <c r="R421" s="152"/>
      <c r="S421" s="131">
        <v>2000</v>
      </c>
      <c r="T421" s="131"/>
      <c r="U421" s="131"/>
      <c r="V421" s="153"/>
      <c r="W421" s="55"/>
      <c r="X421" s="55"/>
      <c r="Y421" s="55"/>
      <c r="Z421" s="55"/>
      <c r="AA421" s="154"/>
    </row>
    <row r="422" spans="1:32" s="120" customFormat="1" ht="40.200000000000003" customHeight="1">
      <c r="A422" s="70">
        <f>MAX(A$14:$A421)+1</f>
        <v>390</v>
      </c>
      <c r="B422" s="134" t="s">
        <v>1452</v>
      </c>
      <c r="C422" s="129" t="s">
        <v>632</v>
      </c>
      <c r="D422" s="78" t="s">
        <v>84</v>
      </c>
      <c r="E422" s="78" t="s">
        <v>84</v>
      </c>
      <c r="F422" s="78" t="s">
        <v>1180</v>
      </c>
      <c r="G422" s="135"/>
      <c r="H422" s="147" t="s">
        <v>1447</v>
      </c>
      <c r="I422" s="78" t="s">
        <v>668</v>
      </c>
      <c r="J422" s="148"/>
      <c r="K422" s="131">
        <v>45000</v>
      </c>
      <c r="L422" s="131"/>
      <c r="M422" s="131">
        <f t="shared" si="37"/>
        <v>45000</v>
      </c>
      <c r="N422" s="149"/>
      <c r="O422" s="150"/>
      <c r="P422" s="150"/>
      <c r="Q422" s="151"/>
      <c r="R422" s="152"/>
      <c r="S422" s="131">
        <v>45000</v>
      </c>
      <c r="T422" s="131"/>
      <c r="U422" s="131"/>
      <c r="V422" s="153"/>
      <c r="W422" s="55"/>
      <c r="X422" s="55"/>
      <c r="Y422" s="55"/>
      <c r="Z422" s="55"/>
      <c r="AA422" s="154"/>
    </row>
    <row r="423" spans="1:32" s="120" customFormat="1" ht="40.200000000000003" customHeight="1">
      <c r="A423" s="70">
        <f>MAX(A$14:$A422)+1</f>
        <v>391</v>
      </c>
      <c r="B423" s="134" t="s">
        <v>1453</v>
      </c>
      <c r="C423" s="129" t="s">
        <v>632</v>
      </c>
      <c r="D423" s="78" t="s">
        <v>84</v>
      </c>
      <c r="E423" s="78" t="s">
        <v>84</v>
      </c>
      <c r="F423" s="78" t="s">
        <v>339</v>
      </c>
      <c r="G423" s="135" t="s">
        <v>1454</v>
      </c>
      <c r="H423" s="147"/>
      <c r="I423" s="78" t="s">
        <v>85</v>
      </c>
      <c r="J423" s="148"/>
      <c r="K423" s="131">
        <v>19500</v>
      </c>
      <c r="L423" s="131"/>
      <c r="M423" s="131">
        <v>19500</v>
      </c>
      <c r="N423" s="149"/>
      <c r="O423" s="150"/>
      <c r="P423" s="150"/>
      <c r="Q423" s="151"/>
      <c r="R423" s="152"/>
      <c r="S423" s="131">
        <v>19500</v>
      </c>
      <c r="T423" s="131"/>
      <c r="U423" s="131"/>
      <c r="V423" s="153"/>
      <c r="W423" s="55"/>
      <c r="X423" s="55"/>
      <c r="Y423" s="55"/>
      <c r="Z423" s="55"/>
      <c r="AA423" s="154"/>
    </row>
    <row r="424" spans="1:32" s="121" customFormat="1" ht="31.65" customHeight="1">
      <c r="A424" s="65" t="s">
        <v>1455</v>
      </c>
      <c r="B424" s="66" t="s">
        <v>1456</v>
      </c>
      <c r="C424" s="116"/>
      <c r="D424" s="116"/>
      <c r="E424" s="116"/>
      <c r="F424" s="116"/>
      <c r="G424" s="116"/>
      <c r="H424" s="116"/>
      <c r="I424" s="116"/>
      <c r="J424" s="116"/>
      <c r="K424" s="172">
        <f>SUM(K425:K449)</f>
        <v>508882</v>
      </c>
      <c r="L424" s="172">
        <f t="shared" ref="L424:V424" si="38">SUM(L425:L449)</f>
        <v>404849</v>
      </c>
      <c r="M424" s="172">
        <f t="shared" si="38"/>
        <v>104033</v>
      </c>
      <c r="N424" s="172">
        <f t="shared" si="38"/>
        <v>0</v>
      </c>
      <c r="O424" s="172">
        <f t="shared" si="38"/>
        <v>0</v>
      </c>
      <c r="P424" s="172">
        <f t="shared" si="38"/>
        <v>0</v>
      </c>
      <c r="Q424" s="172">
        <f t="shared" si="38"/>
        <v>508882</v>
      </c>
      <c r="R424" s="172">
        <f t="shared" si="38"/>
        <v>404849</v>
      </c>
      <c r="S424" s="172">
        <f t="shared" si="38"/>
        <v>104033</v>
      </c>
      <c r="T424" s="172">
        <f t="shared" si="38"/>
        <v>65838</v>
      </c>
      <c r="U424" s="172">
        <f>SUM(U425:U449)</f>
        <v>65838</v>
      </c>
      <c r="V424" s="172">
        <f t="shared" si="38"/>
        <v>0</v>
      </c>
      <c r="W424" s="55"/>
      <c r="X424" s="55"/>
      <c r="Y424" s="55"/>
      <c r="Z424" s="55"/>
      <c r="AA424" s="120"/>
      <c r="AB424" s="120"/>
      <c r="AC424" s="120"/>
      <c r="AD424" s="120"/>
      <c r="AE424" s="120"/>
      <c r="AF424" s="120"/>
    </row>
    <row r="425" spans="1:32" ht="40.200000000000003" customHeight="1">
      <c r="A425" s="70">
        <f>MAX(A$14:$A424)+1</f>
        <v>392</v>
      </c>
      <c r="B425" s="71" t="s">
        <v>1457</v>
      </c>
      <c r="C425" s="72" t="s">
        <v>398</v>
      </c>
      <c r="D425" s="72" t="s">
        <v>84</v>
      </c>
      <c r="E425" s="72" t="s">
        <v>84</v>
      </c>
      <c r="F425" s="215" t="s">
        <v>355</v>
      </c>
      <c r="G425" s="72" t="s">
        <v>1458</v>
      </c>
      <c r="H425" s="216"/>
      <c r="I425" s="205">
        <v>2026</v>
      </c>
      <c r="J425" s="216">
        <v>20000</v>
      </c>
      <c r="K425" s="217">
        <v>20000</v>
      </c>
      <c r="L425" s="217">
        <v>12000</v>
      </c>
      <c r="M425" s="206">
        <f>K425-L425</f>
        <v>8000</v>
      </c>
      <c r="N425" s="218"/>
      <c r="O425" s="218"/>
      <c r="P425" s="218"/>
      <c r="Q425" s="217">
        <v>20000</v>
      </c>
      <c r="R425" s="217">
        <v>12000</v>
      </c>
      <c r="S425" s="206">
        <f>Q425-R425</f>
        <v>8000</v>
      </c>
      <c r="T425" s="217">
        <v>8000</v>
      </c>
      <c r="U425" s="217">
        <v>8000</v>
      </c>
      <c r="V425" s="179"/>
      <c r="W425" s="55"/>
      <c r="X425" s="55"/>
      <c r="Y425" s="55"/>
      <c r="Z425" s="55"/>
      <c r="AA425" s="46"/>
      <c r="AB425" s="46"/>
      <c r="AC425" s="46"/>
      <c r="AD425" s="46"/>
      <c r="AE425" s="46"/>
      <c r="AF425" s="46"/>
    </row>
    <row r="426" spans="1:32" ht="40.200000000000003" customHeight="1">
      <c r="A426" s="70">
        <f>MAX(A$14:$A425)+1</f>
        <v>393</v>
      </c>
      <c r="B426" s="71" t="s">
        <v>1459</v>
      </c>
      <c r="C426" s="72" t="s">
        <v>398</v>
      </c>
      <c r="D426" s="72" t="s">
        <v>84</v>
      </c>
      <c r="E426" s="72" t="s">
        <v>84</v>
      </c>
      <c r="F426" s="215" t="s">
        <v>355</v>
      </c>
      <c r="G426" s="72" t="s">
        <v>1460</v>
      </c>
      <c r="H426" s="216"/>
      <c r="I426" s="205">
        <v>2026</v>
      </c>
      <c r="J426" s="216">
        <v>18335</v>
      </c>
      <c r="K426" s="217">
        <v>18335</v>
      </c>
      <c r="L426" s="217">
        <v>11001</v>
      </c>
      <c r="M426" s="206">
        <f t="shared" ref="M426:M433" si="39">K426-L426</f>
        <v>7334</v>
      </c>
      <c r="N426" s="218"/>
      <c r="O426" s="218"/>
      <c r="P426" s="218"/>
      <c r="Q426" s="217">
        <v>18335</v>
      </c>
      <c r="R426" s="217">
        <v>11001</v>
      </c>
      <c r="S426" s="206">
        <f t="shared" ref="S426:S433" si="40">Q426-R426</f>
        <v>7334</v>
      </c>
      <c r="T426" s="217">
        <v>7334</v>
      </c>
      <c r="U426" s="217">
        <v>7334</v>
      </c>
      <c r="V426" s="179"/>
      <c r="W426" s="55"/>
      <c r="X426" s="55"/>
      <c r="Y426" s="55"/>
      <c r="Z426" s="55"/>
      <c r="AA426" s="46"/>
      <c r="AB426" s="46"/>
      <c r="AC426" s="46"/>
      <c r="AD426" s="46"/>
      <c r="AE426" s="46"/>
      <c r="AF426" s="46"/>
    </row>
    <row r="427" spans="1:32" ht="40.200000000000003" customHeight="1">
      <c r="A427" s="70">
        <f>MAX(A$14:$A426)+1</f>
        <v>394</v>
      </c>
      <c r="B427" s="71" t="s">
        <v>1461</v>
      </c>
      <c r="C427" s="72" t="s">
        <v>398</v>
      </c>
      <c r="D427" s="72" t="s">
        <v>84</v>
      </c>
      <c r="E427" s="72" t="s">
        <v>84</v>
      </c>
      <c r="F427" s="215" t="s">
        <v>1462</v>
      </c>
      <c r="G427" s="72" t="s">
        <v>1463</v>
      </c>
      <c r="H427" s="216"/>
      <c r="I427" s="205">
        <v>2026</v>
      </c>
      <c r="J427" s="216">
        <v>24260</v>
      </c>
      <c r="K427" s="217">
        <v>24260</v>
      </c>
      <c r="L427" s="217">
        <v>14556</v>
      </c>
      <c r="M427" s="206">
        <f t="shared" si="39"/>
        <v>9704</v>
      </c>
      <c r="N427" s="218"/>
      <c r="O427" s="218"/>
      <c r="P427" s="218"/>
      <c r="Q427" s="217">
        <v>24260</v>
      </c>
      <c r="R427" s="217">
        <v>14556</v>
      </c>
      <c r="S427" s="206">
        <f t="shared" si="40"/>
        <v>9704</v>
      </c>
      <c r="T427" s="217">
        <v>9704</v>
      </c>
      <c r="U427" s="217">
        <v>9704</v>
      </c>
      <c r="V427" s="179"/>
      <c r="W427" s="55"/>
      <c r="X427" s="55"/>
      <c r="Y427" s="55"/>
      <c r="Z427" s="55"/>
      <c r="AA427" s="46"/>
      <c r="AB427" s="46"/>
      <c r="AC427" s="46"/>
      <c r="AD427" s="46"/>
      <c r="AE427" s="46"/>
      <c r="AF427" s="46"/>
    </row>
    <row r="428" spans="1:32" ht="40.200000000000003" customHeight="1">
      <c r="A428" s="70">
        <f>MAX(A$14:$A427)+1</f>
        <v>395</v>
      </c>
      <c r="B428" s="71" t="s">
        <v>1464</v>
      </c>
      <c r="C428" s="72" t="s">
        <v>398</v>
      </c>
      <c r="D428" s="72" t="s">
        <v>84</v>
      </c>
      <c r="E428" s="72" t="s">
        <v>84</v>
      </c>
      <c r="F428" s="72" t="s">
        <v>351</v>
      </c>
      <c r="G428" s="72" t="s">
        <v>1465</v>
      </c>
      <c r="H428" s="216"/>
      <c r="I428" s="205">
        <v>2026</v>
      </c>
      <c r="J428" s="216">
        <v>12000</v>
      </c>
      <c r="K428" s="217">
        <v>12000</v>
      </c>
      <c r="L428" s="217">
        <v>7200</v>
      </c>
      <c r="M428" s="206">
        <f t="shared" si="39"/>
        <v>4800</v>
      </c>
      <c r="N428" s="218"/>
      <c r="O428" s="218"/>
      <c r="P428" s="218"/>
      <c r="Q428" s="217">
        <v>12000</v>
      </c>
      <c r="R428" s="217">
        <v>7200</v>
      </c>
      <c r="S428" s="206">
        <f t="shared" si="40"/>
        <v>4800</v>
      </c>
      <c r="T428" s="217">
        <v>4800</v>
      </c>
      <c r="U428" s="217">
        <v>4800</v>
      </c>
      <c r="V428" s="179"/>
      <c r="W428" s="55"/>
      <c r="X428" s="55"/>
      <c r="Y428" s="55"/>
      <c r="Z428" s="55"/>
      <c r="AA428" s="46"/>
      <c r="AB428" s="46"/>
      <c r="AC428" s="46"/>
      <c r="AD428" s="46"/>
      <c r="AE428" s="46"/>
      <c r="AF428" s="46"/>
    </row>
    <row r="429" spans="1:32" ht="40.200000000000003" customHeight="1">
      <c r="A429" s="70">
        <f>MAX(A$14:$A428)+1</f>
        <v>396</v>
      </c>
      <c r="B429" s="71" t="s">
        <v>1466</v>
      </c>
      <c r="C429" s="72" t="s">
        <v>398</v>
      </c>
      <c r="D429" s="72" t="s">
        <v>84</v>
      </c>
      <c r="E429" s="72" t="s">
        <v>84</v>
      </c>
      <c r="F429" s="215" t="s">
        <v>345</v>
      </c>
      <c r="G429" s="72" t="s">
        <v>1467</v>
      </c>
      <c r="H429" s="216"/>
      <c r="I429" s="205">
        <v>2026</v>
      </c>
      <c r="J429" s="216">
        <v>28000</v>
      </c>
      <c r="K429" s="217">
        <v>28000</v>
      </c>
      <c r="L429" s="217">
        <v>16800</v>
      </c>
      <c r="M429" s="206">
        <f t="shared" si="39"/>
        <v>11200</v>
      </c>
      <c r="N429" s="218"/>
      <c r="O429" s="218"/>
      <c r="P429" s="218"/>
      <c r="Q429" s="217">
        <v>28000</v>
      </c>
      <c r="R429" s="217">
        <v>16800</v>
      </c>
      <c r="S429" s="206">
        <f t="shared" si="40"/>
        <v>11200</v>
      </c>
      <c r="T429" s="217">
        <v>11200</v>
      </c>
      <c r="U429" s="217">
        <v>11200</v>
      </c>
      <c r="V429" s="179"/>
      <c r="W429" s="55"/>
      <c r="X429" s="55"/>
      <c r="Y429" s="55"/>
      <c r="Z429" s="55"/>
      <c r="AA429" s="46"/>
      <c r="AB429" s="46"/>
      <c r="AC429" s="46"/>
      <c r="AD429" s="46"/>
      <c r="AE429" s="46"/>
      <c r="AF429" s="46"/>
    </row>
    <row r="430" spans="1:32" ht="40.200000000000003" customHeight="1">
      <c r="A430" s="70">
        <f>MAX(A$14:$A429)+1</f>
        <v>397</v>
      </c>
      <c r="B430" s="71" t="s">
        <v>1468</v>
      </c>
      <c r="C430" s="72" t="s">
        <v>398</v>
      </c>
      <c r="D430" s="72" t="s">
        <v>84</v>
      </c>
      <c r="E430" s="72" t="s">
        <v>84</v>
      </c>
      <c r="F430" s="215" t="s">
        <v>696</v>
      </c>
      <c r="G430" s="72" t="s">
        <v>1465</v>
      </c>
      <c r="H430" s="216"/>
      <c r="I430" s="205">
        <v>2026</v>
      </c>
      <c r="J430" s="216">
        <v>40000</v>
      </c>
      <c r="K430" s="217">
        <v>40000</v>
      </c>
      <c r="L430" s="217">
        <v>24000</v>
      </c>
      <c r="M430" s="206">
        <f t="shared" si="39"/>
        <v>16000</v>
      </c>
      <c r="N430" s="218"/>
      <c r="O430" s="218"/>
      <c r="P430" s="218"/>
      <c r="Q430" s="217">
        <v>40000</v>
      </c>
      <c r="R430" s="217">
        <v>24000</v>
      </c>
      <c r="S430" s="206">
        <f t="shared" si="40"/>
        <v>16000</v>
      </c>
      <c r="T430" s="217">
        <v>16000</v>
      </c>
      <c r="U430" s="217">
        <v>16000</v>
      </c>
      <c r="V430" s="179"/>
      <c r="W430" s="55"/>
      <c r="X430" s="55"/>
      <c r="Y430" s="55"/>
      <c r="Z430" s="55"/>
      <c r="AA430" s="46"/>
      <c r="AB430" s="46"/>
      <c r="AC430" s="46"/>
      <c r="AD430" s="46"/>
      <c r="AE430" s="46"/>
      <c r="AF430" s="46"/>
    </row>
    <row r="431" spans="1:32" ht="40.200000000000003" customHeight="1">
      <c r="A431" s="70">
        <f>MAX(A$14:$A430)+1</f>
        <v>398</v>
      </c>
      <c r="B431" s="71" t="s">
        <v>1469</v>
      </c>
      <c r="C431" s="72" t="s">
        <v>398</v>
      </c>
      <c r="D431" s="72" t="s">
        <v>84</v>
      </c>
      <c r="E431" s="72" t="s">
        <v>84</v>
      </c>
      <c r="F431" s="215" t="s">
        <v>357</v>
      </c>
      <c r="G431" s="72" t="s">
        <v>1470</v>
      </c>
      <c r="H431" s="216"/>
      <c r="I431" s="205">
        <v>2026</v>
      </c>
      <c r="J431" s="216">
        <v>22800</v>
      </c>
      <c r="K431" s="217">
        <v>22800</v>
      </c>
      <c r="L431" s="217">
        <v>18000</v>
      </c>
      <c r="M431" s="206">
        <f t="shared" si="39"/>
        <v>4800</v>
      </c>
      <c r="N431" s="218"/>
      <c r="O431" s="218"/>
      <c r="P431" s="218"/>
      <c r="Q431" s="217">
        <v>22800</v>
      </c>
      <c r="R431" s="217">
        <v>18000</v>
      </c>
      <c r="S431" s="206">
        <f t="shared" si="40"/>
        <v>4800</v>
      </c>
      <c r="T431" s="217">
        <v>4800</v>
      </c>
      <c r="U431" s="217">
        <v>4800</v>
      </c>
      <c r="V431" s="179"/>
      <c r="W431" s="55"/>
      <c r="X431" s="55"/>
      <c r="Y431" s="55"/>
      <c r="Z431" s="55"/>
      <c r="AA431" s="46"/>
      <c r="AB431" s="46"/>
      <c r="AC431" s="46"/>
      <c r="AD431" s="46"/>
      <c r="AE431" s="46"/>
      <c r="AF431" s="46"/>
    </row>
    <row r="432" spans="1:32" ht="52.8">
      <c r="A432" s="70">
        <f>MAX(A$14:$A431)+1</f>
        <v>399</v>
      </c>
      <c r="B432" s="71" t="s">
        <v>1471</v>
      </c>
      <c r="C432" s="72" t="s">
        <v>398</v>
      </c>
      <c r="D432" s="72" t="s">
        <v>84</v>
      </c>
      <c r="E432" s="72" t="s">
        <v>84</v>
      </c>
      <c r="F432" s="215" t="s">
        <v>1472</v>
      </c>
      <c r="G432" s="72" t="s">
        <v>1473</v>
      </c>
      <c r="H432" s="216"/>
      <c r="I432" s="205">
        <v>2026</v>
      </c>
      <c r="J432" s="216">
        <v>68000</v>
      </c>
      <c r="K432" s="217">
        <v>68000</v>
      </c>
      <c r="L432" s="217">
        <v>68000</v>
      </c>
      <c r="M432" s="206">
        <f t="shared" si="39"/>
        <v>0</v>
      </c>
      <c r="N432" s="218"/>
      <c r="O432" s="218"/>
      <c r="P432" s="218"/>
      <c r="Q432" s="217">
        <v>68000</v>
      </c>
      <c r="R432" s="217">
        <v>68000</v>
      </c>
      <c r="S432" s="206">
        <f t="shared" si="40"/>
        <v>0</v>
      </c>
      <c r="T432" s="217"/>
      <c r="U432" s="217"/>
      <c r="V432" s="179"/>
      <c r="W432" s="55"/>
      <c r="X432" s="55"/>
      <c r="Y432" s="55"/>
      <c r="Z432" s="55"/>
      <c r="AA432" s="46"/>
      <c r="AB432" s="46"/>
      <c r="AC432" s="46"/>
      <c r="AD432" s="46"/>
      <c r="AE432" s="46"/>
      <c r="AF432" s="46"/>
    </row>
    <row r="433" spans="1:32" ht="40.200000000000003" customHeight="1">
      <c r="A433" s="70">
        <f>MAX(A$14:$A432)+1</f>
        <v>400</v>
      </c>
      <c r="B433" s="71" t="s">
        <v>1474</v>
      </c>
      <c r="C433" s="72" t="s">
        <v>398</v>
      </c>
      <c r="D433" s="72" t="s">
        <v>84</v>
      </c>
      <c r="E433" s="72" t="s">
        <v>84</v>
      </c>
      <c r="F433" s="215" t="s">
        <v>1475</v>
      </c>
      <c r="G433" s="72" t="s">
        <v>1476</v>
      </c>
      <c r="H433" s="216"/>
      <c r="I433" s="205">
        <v>2026</v>
      </c>
      <c r="J433" s="216">
        <v>49000</v>
      </c>
      <c r="K433" s="217">
        <v>49000</v>
      </c>
      <c r="L433" s="217">
        <v>45000</v>
      </c>
      <c r="M433" s="206">
        <f t="shared" si="39"/>
        <v>4000</v>
      </c>
      <c r="N433" s="218"/>
      <c r="O433" s="218"/>
      <c r="P433" s="218"/>
      <c r="Q433" s="217">
        <v>49000</v>
      </c>
      <c r="R433" s="217">
        <v>45000</v>
      </c>
      <c r="S433" s="206">
        <f t="shared" si="40"/>
        <v>4000</v>
      </c>
      <c r="T433" s="217">
        <v>4000</v>
      </c>
      <c r="U433" s="217">
        <v>4000</v>
      </c>
      <c r="V433" s="179"/>
      <c r="W433" s="55"/>
      <c r="X433" s="55"/>
      <c r="Y433" s="55"/>
      <c r="Z433" s="55"/>
      <c r="AA433" s="46"/>
      <c r="AB433" s="46"/>
      <c r="AC433" s="46"/>
      <c r="AD433" s="46"/>
      <c r="AE433" s="46"/>
      <c r="AF433" s="46"/>
    </row>
    <row r="434" spans="1:32" ht="40.200000000000003" customHeight="1">
      <c r="A434" s="70">
        <f>MAX(A$14:$A433)+1</f>
        <v>401</v>
      </c>
      <c r="B434" s="71" t="s">
        <v>1477</v>
      </c>
      <c r="C434" s="72" t="s">
        <v>398</v>
      </c>
      <c r="D434" s="72" t="s">
        <v>84</v>
      </c>
      <c r="E434" s="72" t="s">
        <v>84</v>
      </c>
      <c r="F434" s="72" t="s">
        <v>356</v>
      </c>
      <c r="G434" s="72" t="s">
        <v>1478</v>
      </c>
      <c r="H434" s="72" t="s">
        <v>1479</v>
      </c>
      <c r="I434" s="72">
        <v>2027</v>
      </c>
      <c r="J434" s="200"/>
      <c r="K434" s="76">
        <v>8000</v>
      </c>
      <c r="L434" s="76">
        <v>4800</v>
      </c>
      <c r="M434" s="206">
        <v>3200</v>
      </c>
      <c r="N434" s="206"/>
      <c r="O434" s="206"/>
      <c r="P434" s="206"/>
      <c r="Q434" s="206">
        <v>8000</v>
      </c>
      <c r="R434" s="206">
        <v>4800</v>
      </c>
      <c r="S434" s="206">
        <v>3200</v>
      </c>
      <c r="T434" s="76"/>
      <c r="U434" s="76"/>
      <c r="V434" s="179"/>
      <c r="W434" s="55"/>
      <c r="X434" s="55"/>
      <c r="Y434" s="55"/>
      <c r="Z434" s="55"/>
      <c r="AA434" s="46"/>
      <c r="AB434" s="46"/>
      <c r="AC434" s="46"/>
      <c r="AD434" s="46"/>
      <c r="AE434" s="46"/>
      <c r="AF434" s="46"/>
    </row>
    <row r="435" spans="1:32" ht="40.200000000000003" customHeight="1">
      <c r="A435" s="70">
        <f>MAX(A$14:$A434)+1</f>
        <v>402</v>
      </c>
      <c r="B435" s="71" t="s">
        <v>1480</v>
      </c>
      <c r="C435" s="72" t="s">
        <v>398</v>
      </c>
      <c r="D435" s="72" t="s">
        <v>84</v>
      </c>
      <c r="E435" s="72" t="s">
        <v>84</v>
      </c>
      <c r="F435" s="72" t="s">
        <v>357</v>
      </c>
      <c r="G435" s="72" t="s">
        <v>1481</v>
      </c>
      <c r="H435" s="215" t="s">
        <v>1482</v>
      </c>
      <c r="I435" s="205">
        <v>2027</v>
      </c>
      <c r="J435" s="200"/>
      <c r="K435" s="206">
        <v>14400</v>
      </c>
      <c r="L435" s="206">
        <v>8640</v>
      </c>
      <c r="M435" s="206">
        <v>5760</v>
      </c>
      <c r="N435" s="206"/>
      <c r="O435" s="206"/>
      <c r="P435" s="206"/>
      <c r="Q435" s="206">
        <v>14400</v>
      </c>
      <c r="R435" s="206">
        <v>8640</v>
      </c>
      <c r="S435" s="206">
        <v>5760</v>
      </c>
      <c r="T435" s="206"/>
      <c r="U435" s="206"/>
      <c r="V435" s="179"/>
      <c r="W435" s="55"/>
      <c r="X435" s="55"/>
      <c r="Y435" s="55"/>
      <c r="Z435" s="55"/>
      <c r="AA435" s="46"/>
      <c r="AB435" s="46"/>
      <c r="AC435" s="46"/>
      <c r="AD435" s="46"/>
      <c r="AE435" s="46"/>
      <c r="AF435" s="46"/>
    </row>
    <row r="436" spans="1:32" ht="40.200000000000003" customHeight="1">
      <c r="A436" s="70">
        <f>MAX(A$14:$A435)+1</f>
        <v>403</v>
      </c>
      <c r="B436" s="71" t="s">
        <v>1483</v>
      </c>
      <c r="C436" s="72" t="s">
        <v>398</v>
      </c>
      <c r="D436" s="72" t="s">
        <v>84</v>
      </c>
      <c r="E436" s="72" t="s">
        <v>84</v>
      </c>
      <c r="F436" s="72" t="s">
        <v>355</v>
      </c>
      <c r="G436" s="72" t="s">
        <v>1484</v>
      </c>
      <c r="H436" s="215" t="s">
        <v>1485</v>
      </c>
      <c r="I436" s="205">
        <v>2027</v>
      </c>
      <c r="J436" s="200"/>
      <c r="K436" s="206">
        <v>12500</v>
      </c>
      <c r="L436" s="206">
        <v>7500</v>
      </c>
      <c r="M436" s="206">
        <v>5000</v>
      </c>
      <c r="N436" s="206"/>
      <c r="O436" s="206"/>
      <c r="P436" s="206"/>
      <c r="Q436" s="206">
        <v>12500</v>
      </c>
      <c r="R436" s="206">
        <v>7500</v>
      </c>
      <c r="S436" s="206">
        <v>5000</v>
      </c>
      <c r="T436" s="206"/>
      <c r="U436" s="206"/>
      <c r="V436" s="179"/>
      <c r="W436" s="55"/>
      <c r="X436" s="55"/>
      <c r="Y436" s="55"/>
      <c r="Z436" s="55"/>
      <c r="AA436" s="46"/>
      <c r="AB436" s="46"/>
      <c r="AC436" s="46"/>
      <c r="AD436" s="46"/>
      <c r="AE436" s="46"/>
      <c r="AF436" s="46"/>
    </row>
    <row r="437" spans="1:32" ht="40.200000000000003" customHeight="1">
      <c r="A437" s="70">
        <f>MAX(A$14:$A436)+1</f>
        <v>404</v>
      </c>
      <c r="B437" s="71" t="s">
        <v>1486</v>
      </c>
      <c r="C437" s="72" t="s">
        <v>398</v>
      </c>
      <c r="D437" s="72" t="s">
        <v>84</v>
      </c>
      <c r="E437" s="72" t="s">
        <v>84</v>
      </c>
      <c r="F437" s="72" t="s">
        <v>351</v>
      </c>
      <c r="G437" s="72" t="s">
        <v>1487</v>
      </c>
      <c r="H437" s="215" t="s">
        <v>1488</v>
      </c>
      <c r="I437" s="205">
        <v>2027</v>
      </c>
      <c r="J437" s="200"/>
      <c r="K437" s="206">
        <v>25287</v>
      </c>
      <c r="L437" s="206">
        <v>15172</v>
      </c>
      <c r="M437" s="206">
        <v>10115</v>
      </c>
      <c r="N437" s="206"/>
      <c r="O437" s="206"/>
      <c r="P437" s="206"/>
      <c r="Q437" s="206">
        <v>25287</v>
      </c>
      <c r="R437" s="206">
        <v>15172</v>
      </c>
      <c r="S437" s="206">
        <v>10115</v>
      </c>
      <c r="T437" s="206"/>
      <c r="U437" s="206"/>
      <c r="V437" s="179"/>
      <c r="W437" s="55"/>
      <c r="X437" s="55"/>
      <c r="Y437" s="55"/>
      <c r="Z437" s="55"/>
      <c r="AA437" s="46"/>
      <c r="AB437" s="46"/>
      <c r="AC437" s="46"/>
      <c r="AD437" s="46"/>
      <c r="AE437" s="46"/>
      <c r="AF437" s="46"/>
    </row>
    <row r="438" spans="1:32" ht="40.200000000000003" customHeight="1">
      <c r="A438" s="70">
        <f>MAX(A$14:$A437)+1</f>
        <v>405</v>
      </c>
      <c r="B438" s="71" t="s">
        <v>1489</v>
      </c>
      <c r="C438" s="72" t="s">
        <v>398</v>
      </c>
      <c r="D438" s="72" t="s">
        <v>84</v>
      </c>
      <c r="E438" s="72" t="s">
        <v>84</v>
      </c>
      <c r="F438" s="72" t="s">
        <v>349</v>
      </c>
      <c r="G438" s="72" t="s">
        <v>1490</v>
      </c>
      <c r="H438" s="215" t="s">
        <v>1491</v>
      </c>
      <c r="I438" s="205">
        <v>2028</v>
      </c>
      <c r="J438" s="200"/>
      <c r="K438" s="206">
        <v>10800</v>
      </c>
      <c r="L438" s="206">
        <v>6480</v>
      </c>
      <c r="M438" s="206">
        <v>4320</v>
      </c>
      <c r="N438" s="206"/>
      <c r="O438" s="206"/>
      <c r="P438" s="206"/>
      <c r="Q438" s="206">
        <v>10800</v>
      </c>
      <c r="R438" s="206">
        <v>6480</v>
      </c>
      <c r="S438" s="206">
        <v>4320</v>
      </c>
      <c r="T438" s="206"/>
      <c r="U438" s="206"/>
      <c r="V438" s="179"/>
      <c r="W438" s="55"/>
      <c r="X438" s="55"/>
      <c r="Y438" s="55"/>
      <c r="Z438" s="55"/>
      <c r="AA438" s="46"/>
      <c r="AB438" s="46"/>
      <c r="AC438" s="46"/>
      <c r="AD438" s="46"/>
      <c r="AE438" s="46"/>
      <c r="AF438" s="46"/>
    </row>
    <row r="439" spans="1:32" ht="40.200000000000003" customHeight="1">
      <c r="A439" s="70">
        <f>MAX(A$14:$A438)+1</f>
        <v>406</v>
      </c>
      <c r="B439" s="71" t="s">
        <v>1492</v>
      </c>
      <c r="C439" s="72" t="s">
        <v>398</v>
      </c>
      <c r="D439" s="72" t="s">
        <v>84</v>
      </c>
      <c r="E439" s="72" t="s">
        <v>84</v>
      </c>
      <c r="F439" s="72" t="s">
        <v>349</v>
      </c>
      <c r="G439" s="72" t="s">
        <v>1493</v>
      </c>
      <c r="H439" s="215" t="s">
        <v>1494</v>
      </c>
      <c r="I439" s="205">
        <v>2028</v>
      </c>
      <c r="J439" s="200"/>
      <c r="K439" s="206">
        <v>12500</v>
      </c>
      <c r="L439" s="206">
        <v>7500</v>
      </c>
      <c r="M439" s="206">
        <v>5000</v>
      </c>
      <c r="N439" s="206"/>
      <c r="O439" s="206"/>
      <c r="P439" s="206"/>
      <c r="Q439" s="206">
        <v>12500</v>
      </c>
      <c r="R439" s="206">
        <v>7500</v>
      </c>
      <c r="S439" s="206">
        <v>5000</v>
      </c>
      <c r="T439" s="206"/>
      <c r="U439" s="206"/>
      <c r="V439" s="179"/>
      <c r="W439" s="55"/>
      <c r="X439" s="55"/>
      <c r="Y439" s="55"/>
      <c r="Z439" s="55"/>
      <c r="AA439" s="46"/>
      <c r="AB439" s="46"/>
      <c r="AC439" s="46"/>
      <c r="AD439" s="46"/>
      <c r="AE439" s="46"/>
      <c r="AF439" s="46"/>
    </row>
    <row r="440" spans="1:32" ht="40.200000000000003" customHeight="1">
      <c r="A440" s="70">
        <f>MAX(A$14:$A439)+1</f>
        <v>407</v>
      </c>
      <c r="B440" s="71" t="s">
        <v>1495</v>
      </c>
      <c r="C440" s="72" t="s">
        <v>398</v>
      </c>
      <c r="D440" s="72" t="s">
        <v>84</v>
      </c>
      <c r="E440" s="72" t="s">
        <v>84</v>
      </c>
      <c r="F440" s="72" t="s">
        <v>1496</v>
      </c>
      <c r="G440" s="72" t="s">
        <v>1497</v>
      </c>
      <c r="H440" s="215" t="s">
        <v>1498</v>
      </c>
      <c r="I440" s="205">
        <v>2028</v>
      </c>
      <c r="J440" s="200"/>
      <c r="K440" s="206">
        <v>1000</v>
      </c>
      <c r="L440" s="206">
        <v>1000</v>
      </c>
      <c r="M440" s="206"/>
      <c r="N440" s="206"/>
      <c r="O440" s="206"/>
      <c r="P440" s="206"/>
      <c r="Q440" s="206">
        <v>1000</v>
      </c>
      <c r="R440" s="206">
        <v>1000</v>
      </c>
      <c r="S440" s="206"/>
      <c r="T440" s="206"/>
      <c r="U440" s="206"/>
      <c r="V440" s="179"/>
      <c r="W440" s="55"/>
      <c r="X440" s="55"/>
      <c r="Y440" s="55"/>
      <c r="Z440" s="55"/>
      <c r="AA440" s="46"/>
      <c r="AB440" s="46"/>
      <c r="AC440" s="46"/>
      <c r="AD440" s="46"/>
      <c r="AE440" s="46"/>
      <c r="AF440" s="46"/>
    </row>
    <row r="441" spans="1:32" ht="40.200000000000003" customHeight="1">
      <c r="A441" s="70">
        <f>MAX(A$14:$A440)+1</f>
        <v>408</v>
      </c>
      <c r="B441" s="71" t="s">
        <v>1499</v>
      </c>
      <c r="C441" s="72" t="s">
        <v>398</v>
      </c>
      <c r="D441" s="72" t="s">
        <v>84</v>
      </c>
      <c r="E441" s="72" t="s">
        <v>84</v>
      </c>
      <c r="F441" s="72" t="s">
        <v>350</v>
      </c>
      <c r="G441" s="72" t="s">
        <v>1500</v>
      </c>
      <c r="H441" s="215" t="s">
        <v>1501</v>
      </c>
      <c r="I441" s="205">
        <v>2029</v>
      </c>
      <c r="J441" s="200"/>
      <c r="K441" s="206">
        <v>7000</v>
      </c>
      <c r="L441" s="206">
        <v>4200</v>
      </c>
      <c r="M441" s="206">
        <v>2800</v>
      </c>
      <c r="N441" s="206"/>
      <c r="O441" s="206"/>
      <c r="P441" s="206"/>
      <c r="Q441" s="206">
        <v>7000</v>
      </c>
      <c r="R441" s="206">
        <v>4200</v>
      </c>
      <c r="S441" s="206">
        <v>2800</v>
      </c>
      <c r="T441" s="206"/>
      <c r="U441" s="206"/>
      <c r="V441" s="179"/>
      <c r="W441" s="55"/>
      <c r="X441" s="55"/>
      <c r="Y441" s="55"/>
      <c r="Z441" s="55"/>
      <c r="AA441" s="46"/>
      <c r="AB441" s="46"/>
      <c r="AC441" s="46"/>
      <c r="AD441" s="46"/>
      <c r="AE441" s="46"/>
      <c r="AF441" s="46"/>
    </row>
    <row r="442" spans="1:32" ht="40.200000000000003" customHeight="1">
      <c r="A442" s="70">
        <f>MAX(A$14:$A441)+1</f>
        <v>409</v>
      </c>
      <c r="B442" s="71" t="s">
        <v>1502</v>
      </c>
      <c r="C442" s="72" t="s">
        <v>398</v>
      </c>
      <c r="D442" s="72" t="s">
        <v>84</v>
      </c>
      <c r="E442" s="72" t="s">
        <v>84</v>
      </c>
      <c r="F442" s="72" t="s">
        <v>349</v>
      </c>
      <c r="G442" s="72" t="s">
        <v>1503</v>
      </c>
      <c r="H442" s="215" t="s">
        <v>1504</v>
      </c>
      <c r="I442" s="205">
        <v>2029</v>
      </c>
      <c r="J442" s="200"/>
      <c r="K442" s="206">
        <v>5000</v>
      </c>
      <c r="L442" s="206">
        <v>3000</v>
      </c>
      <c r="M442" s="206">
        <v>2000</v>
      </c>
      <c r="N442" s="206"/>
      <c r="O442" s="206"/>
      <c r="P442" s="206"/>
      <c r="Q442" s="206">
        <v>5000</v>
      </c>
      <c r="R442" s="206">
        <v>3000</v>
      </c>
      <c r="S442" s="206">
        <v>2000</v>
      </c>
      <c r="T442" s="206"/>
      <c r="U442" s="206"/>
      <c r="V442" s="179"/>
      <c r="W442" s="55"/>
      <c r="X442" s="55"/>
      <c r="Y442" s="55"/>
      <c r="Z442" s="55"/>
      <c r="AA442" s="46"/>
      <c r="AB442" s="46"/>
      <c r="AC442" s="46"/>
      <c r="AD442" s="46"/>
      <c r="AE442" s="46"/>
      <c r="AF442" s="46"/>
    </row>
    <row r="443" spans="1:32" ht="40.200000000000003" customHeight="1">
      <c r="A443" s="70">
        <f>MAX(A$14:$A442)+1</f>
        <v>410</v>
      </c>
      <c r="B443" s="71" t="s">
        <v>1505</v>
      </c>
      <c r="C443" s="72" t="s">
        <v>398</v>
      </c>
      <c r="D443" s="72" t="s">
        <v>84</v>
      </c>
      <c r="E443" s="72" t="s">
        <v>84</v>
      </c>
      <c r="F443" s="72" t="s">
        <v>1506</v>
      </c>
      <c r="G443" s="72" t="s">
        <v>1507</v>
      </c>
      <c r="H443" s="215" t="s">
        <v>1508</v>
      </c>
      <c r="I443" s="205">
        <v>2029</v>
      </c>
      <c r="J443" s="200"/>
      <c r="K443" s="206">
        <v>3000</v>
      </c>
      <c r="L443" s="206">
        <v>3000</v>
      </c>
      <c r="M443" s="206"/>
      <c r="N443" s="206"/>
      <c r="O443" s="206"/>
      <c r="P443" s="206"/>
      <c r="Q443" s="206">
        <v>3000</v>
      </c>
      <c r="R443" s="206">
        <v>3000</v>
      </c>
      <c r="S443" s="206"/>
      <c r="T443" s="206"/>
      <c r="U443" s="206"/>
      <c r="V443" s="179"/>
      <c r="W443" s="55"/>
      <c r="X443" s="55"/>
      <c r="Y443" s="55"/>
      <c r="Z443" s="55"/>
      <c r="AA443" s="46"/>
      <c r="AB443" s="46"/>
      <c r="AC443" s="46"/>
      <c r="AD443" s="46"/>
      <c r="AE443" s="46"/>
      <c r="AF443" s="46"/>
    </row>
    <row r="444" spans="1:32" ht="40.200000000000003" customHeight="1">
      <c r="A444" s="70">
        <f>MAX(A$14:$A443)+1</f>
        <v>411</v>
      </c>
      <c r="B444" s="71" t="s">
        <v>1509</v>
      </c>
      <c r="C444" s="72" t="s">
        <v>398</v>
      </c>
      <c r="D444" s="72" t="s">
        <v>84</v>
      </c>
      <c r="E444" s="72" t="s">
        <v>84</v>
      </c>
      <c r="F444" s="72" t="s">
        <v>1510</v>
      </c>
      <c r="G444" s="72" t="s">
        <v>1511</v>
      </c>
      <c r="H444" s="215" t="s">
        <v>1512</v>
      </c>
      <c r="I444" s="205">
        <v>2029</v>
      </c>
      <c r="J444" s="200"/>
      <c r="K444" s="206">
        <v>25000</v>
      </c>
      <c r="L444" s="206">
        <v>25000</v>
      </c>
      <c r="M444" s="206"/>
      <c r="N444" s="206"/>
      <c r="O444" s="206"/>
      <c r="P444" s="206"/>
      <c r="Q444" s="206">
        <v>25000</v>
      </c>
      <c r="R444" s="206">
        <v>25000</v>
      </c>
      <c r="S444" s="206"/>
      <c r="T444" s="206"/>
      <c r="U444" s="206"/>
      <c r="V444" s="179"/>
      <c r="W444" s="55"/>
      <c r="X444" s="55"/>
      <c r="Y444" s="55"/>
      <c r="Z444" s="55"/>
      <c r="AA444" s="46"/>
      <c r="AB444" s="46"/>
      <c r="AC444" s="46"/>
      <c r="AD444" s="46"/>
      <c r="AE444" s="46"/>
      <c r="AF444" s="46"/>
    </row>
    <row r="445" spans="1:32" ht="40.200000000000003" customHeight="1">
      <c r="A445" s="70">
        <f>MAX(A$14:$A444)+1</f>
        <v>412</v>
      </c>
      <c r="B445" s="71" t="s">
        <v>1513</v>
      </c>
      <c r="C445" s="72" t="s">
        <v>398</v>
      </c>
      <c r="D445" s="72"/>
      <c r="E445" s="72" t="s">
        <v>84</v>
      </c>
      <c r="F445" s="72" t="s">
        <v>1514</v>
      </c>
      <c r="G445" s="72" t="s">
        <v>1515</v>
      </c>
      <c r="H445" s="215" t="s">
        <v>1516</v>
      </c>
      <c r="I445" s="205">
        <v>2029</v>
      </c>
      <c r="J445" s="200"/>
      <c r="K445" s="206">
        <v>15000</v>
      </c>
      <c r="L445" s="206">
        <v>15000</v>
      </c>
      <c r="M445" s="206"/>
      <c r="N445" s="206"/>
      <c r="O445" s="206"/>
      <c r="P445" s="206"/>
      <c r="Q445" s="206">
        <v>15000</v>
      </c>
      <c r="R445" s="206">
        <v>15000</v>
      </c>
      <c r="S445" s="206"/>
      <c r="T445" s="206"/>
      <c r="U445" s="206"/>
      <c r="V445" s="179"/>
      <c r="W445" s="55"/>
      <c r="X445" s="55"/>
      <c r="Y445" s="55"/>
      <c r="Z445" s="55"/>
      <c r="AA445" s="46"/>
      <c r="AB445" s="46"/>
      <c r="AC445" s="46"/>
      <c r="AD445" s="46"/>
      <c r="AE445" s="46"/>
      <c r="AF445" s="46"/>
    </row>
    <row r="446" spans="1:32" ht="40.200000000000003" customHeight="1">
      <c r="A446" s="70">
        <f>MAX(A$14:$A445)+1</f>
        <v>413</v>
      </c>
      <c r="B446" s="219" t="s">
        <v>1517</v>
      </c>
      <c r="C446" s="72" t="s">
        <v>398</v>
      </c>
      <c r="D446" s="72" t="s">
        <v>84</v>
      </c>
      <c r="E446" s="72" t="s">
        <v>84</v>
      </c>
      <c r="F446" s="220" t="s">
        <v>1518</v>
      </c>
      <c r="G446" s="72" t="s">
        <v>1519</v>
      </c>
      <c r="H446" s="215" t="s">
        <v>1520</v>
      </c>
      <c r="I446" s="205">
        <v>2030</v>
      </c>
      <c r="J446" s="200"/>
      <c r="K446" s="206">
        <v>25000</v>
      </c>
      <c r="L446" s="206">
        <v>25000</v>
      </c>
      <c r="M446" s="206"/>
      <c r="N446" s="206"/>
      <c r="O446" s="206"/>
      <c r="P446" s="206"/>
      <c r="Q446" s="206">
        <v>25000</v>
      </c>
      <c r="R446" s="206">
        <v>25000</v>
      </c>
      <c r="S446" s="206"/>
      <c r="T446" s="206"/>
      <c r="U446" s="206"/>
      <c r="V446" s="179"/>
      <c r="W446" s="55"/>
      <c r="X446" s="55"/>
      <c r="Y446" s="55"/>
      <c r="Z446" s="55"/>
      <c r="AA446" s="46"/>
      <c r="AB446" s="46"/>
      <c r="AC446" s="46"/>
      <c r="AD446" s="46"/>
      <c r="AE446" s="46"/>
      <c r="AF446" s="46"/>
    </row>
    <row r="447" spans="1:32" ht="40.200000000000003" customHeight="1">
      <c r="A447" s="70">
        <f>MAX(A$14:$A446)+1</f>
        <v>414</v>
      </c>
      <c r="B447" s="71" t="s">
        <v>1521</v>
      </c>
      <c r="C447" s="72" t="s">
        <v>398</v>
      </c>
      <c r="D447" s="72" t="s">
        <v>84</v>
      </c>
      <c r="E447" s="72" t="s">
        <v>84</v>
      </c>
      <c r="F447" s="72" t="s">
        <v>1522</v>
      </c>
      <c r="G447" s="72" t="s">
        <v>1523</v>
      </c>
      <c r="H447" s="221" t="s">
        <v>1524</v>
      </c>
      <c r="I447" s="205">
        <v>2030</v>
      </c>
      <c r="J447" s="200"/>
      <c r="K447" s="206">
        <v>14000</v>
      </c>
      <c r="L447" s="206">
        <v>14000</v>
      </c>
      <c r="M447" s="206"/>
      <c r="N447" s="206"/>
      <c r="O447" s="206"/>
      <c r="P447" s="206"/>
      <c r="Q447" s="206">
        <v>14000</v>
      </c>
      <c r="R447" s="206">
        <v>14000</v>
      </c>
      <c r="S447" s="206"/>
      <c r="T447" s="206"/>
      <c r="U447" s="206"/>
      <c r="V447" s="179"/>
      <c r="W447" s="55"/>
      <c r="X447" s="55"/>
      <c r="Y447" s="55"/>
      <c r="Z447" s="55"/>
      <c r="AA447" s="46"/>
      <c r="AB447" s="46"/>
      <c r="AC447" s="46"/>
      <c r="AD447" s="46"/>
      <c r="AE447" s="46"/>
      <c r="AF447" s="46"/>
    </row>
    <row r="448" spans="1:32" ht="40.200000000000003" customHeight="1">
      <c r="A448" s="70">
        <f>MAX(A$14:$A447)+1</f>
        <v>415</v>
      </c>
      <c r="B448" s="71" t="s">
        <v>1525</v>
      </c>
      <c r="C448" s="72" t="s">
        <v>398</v>
      </c>
      <c r="D448" s="72" t="s">
        <v>84</v>
      </c>
      <c r="E448" s="72" t="s">
        <v>84</v>
      </c>
      <c r="F448" s="72" t="s">
        <v>1526</v>
      </c>
      <c r="G448" s="72" t="s">
        <v>1527</v>
      </c>
      <c r="H448" s="215" t="s">
        <v>1528</v>
      </c>
      <c r="I448" s="205">
        <v>2030</v>
      </c>
      <c r="J448" s="200"/>
      <c r="K448" s="206">
        <v>8000</v>
      </c>
      <c r="L448" s="206">
        <v>8000</v>
      </c>
      <c r="M448" s="206"/>
      <c r="N448" s="206"/>
      <c r="O448" s="206"/>
      <c r="P448" s="206"/>
      <c r="Q448" s="206">
        <v>8000</v>
      </c>
      <c r="R448" s="206">
        <v>8000</v>
      </c>
      <c r="S448" s="206"/>
      <c r="T448" s="206"/>
      <c r="U448" s="206"/>
      <c r="V448" s="179"/>
      <c r="W448" s="55"/>
      <c r="X448" s="55"/>
      <c r="Y448" s="55"/>
      <c r="Z448" s="55"/>
      <c r="AA448" s="46"/>
      <c r="AB448" s="46"/>
      <c r="AC448" s="46"/>
      <c r="AD448" s="46"/>
      <c r="AE448" s="46"/>
      <c r="AF448" s="46"/>
    </row>
    <row r="449" spans="1:32" ht="45.75" customHeight="1">
      <c r="A449" s="70">
        <f>MAX(A$14:$A448)+1</f>
        <v>416</v>
      </c>
      <c r="B449" s="222" t="s">
        <v>1529</v>
      </c>
      <c r="C449" s="72" t="s">
        <v>398</v>
      </c>
      <c r="D449" s="72" t="s">
        <v>84</v>
      </c>
      <c r="E449" s="72" t="s">
        <v>84</v>
      </c>
      <c r="F449" s="223" t="s">
        <v>1530</v>
      </c>
      <c r="G449" s="72" t="s">
        <v>1531</v>
      </c>
      <c r="H449" s="72" t="s">
        <v>1528</v>
      </c>
      <c r="I449" s="205">
        <v>2030</v>
      </c>
      <c r="J449" s="205"/>
      <c r="K449" s="224">
        <v>40000</v>
      </c>
      <c r="L449" s="224">
        <v>40000</v>
      </c>
      <c r="M449" s="217"/>
      <c r="N449" s="217"/>
      <c r="O449" s="217"/>
      <c r="P449" s="217"/>
      <c r="Q449" s="217">
        <v>40000</v>
      </c>
      <c r="R449" s="217">
        <v>40000</v>
      </c>
      <c r="S449" s="217"/>
      <c r="T449" s="224"/>
      <c r="U449" s="224"/>
      <c r="V449" s="179"/>
      <c r="W449" s="55"/>
      <c r="X449" s="55"/>
      <c r="Y449" s="55"/>
      <c r="Z449" s="55"/>
      <c r="AA449" s="46"/>
      <c r="AB449" s="46"/>
      <c r="AC449" s="46"/>
      <c r="AD449" s="46"/>
      <c r="AE449" s="46"/>
      <c r="AF449" s="46"/>
    </row>
    <row r="450" spans="1:32" s="121" customFormat="1" ht="31.65" customHeight="1">
      <c r="A450" s="167" t="s">
        <v>1455</v>
      </c>
      <c r="B450" s="66" t="s">
        <v>1532</v>
      </c>
      <c r="C450" s="116"/>
      <c r="D450" s="116"/>
      <c r="E450" s="116"/>
      <c r="F450" s="116"/>
      <c r="G450" s="116"/>
      <c r="H450" s="116"/>
      <c r="I450" s="116"/>
      <c r="J450" s="116"/>
      <c r="K450" s="172">
        <f>SUM(K451:K453)</f>
        <v>250000</v>
      </c>
      <c r="L450" s="172">
        <f t="shared" ref="L450:T450" si="41">SUM(L451:L453)</f>
        <v>0</v>
      </c>
      <c r="M450" s="172">
        <f t="shared" si="41"/>
        <v>250000</v>
      </c>
      <c r="N450" s="172">
        <f t="shared" si="41"/>
        <v>0</v>
      </c>
      <c r="O450" s="172">
        <f t="shared" si="41"/>
        <v>0</v>
      </c>
      <c r="P450" s="172">
        <f t="shared" si="41"/>
        <v>0</v>
      </c>
      <c r="Q450" s="172">
        <f t="shared" si="41"/>
        <v>0</v>
      </c>
      <c r="R450" s="172">
        <f t="shared" si="41"/>
        <v>0</v>
      </c>
      <c r="S450" s="172">
        <f t="shared" si="41"/>
        <v>250000</v>
      </c>
      <c r="T450" s="172">
        <f t="shared" si="41"/>
        <v>1100</v>
      </c>
      <c r="U450" s="172">
        <f>SUM(U451:U453)</f>
        <v>1100</v>
      </c>
      <c r="V450" s="172"/>
      <c r="W450" s="55"/>
      <c r="X450" s="55"/>
      <c r="Y450" s="55"/>
      <c r="Z450" s="55"/>
      <c r="AA450" s="120"/>
      <c r="AB450" s="120"/>
      <c r="AC450" s="120"/>
      <c r="AD450" s="120"/>
      <c r="AE450" s="120"/>
      <c r="AF450" s="120"/>
    </row>
    <row r="451" spans="1:32" ht="40.200000000000003" customHeight="1">
      <c r="A451" s="70">
        <f>MAX(A$14:$A450)+1</f>
        <v>417</v>
      </c>
      <c r="B451" s="71" t="s">
        <v>1533</v>
      </c>
      <c r="C451" s="72" t="s">
        <v>1534</v>
      </c>
      <c r="D451" s="72" t="s">
        <v>47</v>
      </c>
      <c r="E451" s="72" t="s">
        <v>47</v>
      </c>
      <c r="F451" s="72" t="s">
        <v>573</v>
      </c>
      <c r="G451" s="72" t="s">
        <v>1535</v>
      </c>
      <c r="H451" s="221" t="s">
        <v>1536</v>
      </c>
      <c r="I451" s="205" t="s">
        <v>1341</v>
      </c>
      <c r="J451" s="200"/>
      <c r="K451" s="206">
        <f>M451</f>
        <v>175000</v>
      </c>
      <c r="L451" s="206"/>
      <c r="M451" s="206">
        <f>S451</f>
        <v>175000</v>
      </c>
      <c r="N451" s="206"/>
      <c r="O451" s="206"/>
      <c r="P451" s="206"/>
      <c r="Q451" s="206"/>
      <c r="R451" s="206"/>
      <c r="S451" s="206">
        <v>175000</v>
      </c>
      <c r="T451" s="206">
        <v>500</v>
      </c>
      <c r="U451" s="206">
        <v>500</v>
      </c>
      <c r="V451" s="179"/>
      <c r="W451" s="55"/>
      <c r="X451" s="55"/>
      <c r="Y451" s="55"/>
      <c r="Z451" s="55"/>
      <c r="AA451" s="46"/>
      <c r="AB451" s="46"/>
      <c r="AC451" s="46"/>
      <c r="AD451" s="46"/>
      <c r="AE451" s="46"/>
      <c r="AF451" s="46"/>
    </row>
    <row r="452" spans="1:32" ht="40.200000000000003" customHeight="1">
      <c r="A452" s="70">
        <f>MAX(A$14:$A451)+1</f>
        <v>418</v>
      </c>
      <c r="B452" s="71" t="s">
        <v>1537</v>
      </c>
      <c r="C452" s="72" t="s">
        <v>1534</v>
      </c>
      <c r="D452" s="72" t="s">
        <v>84</v>
      </c>
      <c r="E452" s="72" t="s">
        <v>84</v>
      </c>
      <c r="F452" s="72" t="s">
        <v>1538</v>
      </c>
      <c r="G452" s="72"/>
      <c r="H452" s="221" t="s">
        <v>1539</v>
      </c>
      <c r="I452" s="205" t="s">
        <v>1341</v>
      </c>
      <c r="J452" s="200"/>
      <c r="K452" s="206">
        <v>25000</v>
      </c>
      <c r="L452" s="206"/>
      <c r="M452" s="206">
        <v>25000</v>
      </c>
      <c r="N452" s="206"/>
      <c r="O452" s="206"/>
      <c r="P452" s="206"/>
      <c r="Q452" s="206"/>
      <c r="R452" s="206"/>
      <c r="S452" s="206">
        <v>25000</v>
      </c>
      <c r="T452" s="206">
        <v>500</v>
      </c>
      <c r="U452" s="206">
        <v>500</v>
      </c>
      <c r="V452" s="179"/>
      <c r="W452" s="55"/>
      <c r="X452" s="55"/>
      <c r="Y452" s="55"/>
      <c r="Z452" s="55"/>
      <c r="AA452" s="46"/>
      <c r="AB452" s="46"/>
      <c r="AC452" s="46"/>
      <c r="AD452" s="46"/>
      <c r="AE452" s="46"/>
      <c r="AF452" s="46"/>
    </row>
    <row r="453" spans="1:32" ht="40.200000000000003" customHeight="1">
      <c r="A453" s="70">
        <f>MAX(A$14:$A452)+1</f>
        <v>419</v>
      </c>
      <c r="B453" s="71" t="s">
        <v>1540</v>
      </c>
      <c r="C453" s="72" t="s">
        <v>1534</v>
      </c>
      <c r="D453" s="72" t="s">
        <v>84</v>
      </c>
      <c r="E453" s="72" t="s">
        <v>84</v>
      </c>
      <c r="F453" s="72" t="s">
        <v>1541</v>
      </c>
      <c r="G453" s="72" t="s">
        <v>1542</v>
      </c>
      <c r="H453" s="221" t="s">
        <v>1543</v>
      </c>
      <c r="I453" s="205" t="s">
        <v>568</v>
      </c>
      <c r="J453" s="200"/>
      <c r="K453" s="206">
        <v>50000</v>
      </c>
      <c r="L453" s="206"/>
      <c r="M453" s="206">
        <v>50000</v>
      </c>
      <c r="N453" s="206"/>
      <c r="O453" s="206"/>
      <c r="P453" s="206"/>
      <c r="Q453" s="206"/>
      <c r="R453" s="206"/>
      <c r="S453" s="206">
        <v>50000</v>
      </c>
      <c r="T453" s="206">
        <v>100</v>
      </c>
      <c r="U453" s="206">
        <v>100</v>
      </c>
      <c r="V453" s="179"/>
      <c r="W453" s="55"/>
      <c r="X453" s="55"/>
      <c r="Y453" s="55"/>
      <c r="Z453" s="55"/>
      <c r="AA453" s="46"/>
      <c r="AB453" s="46"/>
      <c r="AC453" s="46"/>
      <c r="AD453" s="46"/>
      <c r="AE453" s="46"/>
      <c r="AF453" s="46"/>
    </row>
    <row r="454" spans="1:32" s="121" customFormat="1" ht="31.65" customHeight="1">
      <c r="A454" s="65" t="s">
        <v>1544</v>
      </c>
      <c r="B454" s="66" t="s">
        <v>562</v>
      </c>
      <c r="C454" s="116"/>
      <c r="D454" s="116"/>
      <c r="E454" s="116"/>
      <c r="F454" s="116"/>
      <c r="G454" s="116"/>
      <c r="H454" s="116"/>
      <c r="I454" s="116"/>
      <c r="J454" s="116"/>
      <c r="K454" s="172">
        <f>K455</f>
        <v>7000</v>
      </c>
      <c r="L454" s="172">
        <f t="shared" ref="L454:U454" si="42">L455</f>
        <v>0</v>
      </c>
      <c r="M454" s="172">
        <f t="shared" si="42"/>
        <v>7000</v>
      </c>
      <c r="N454" s="172">
        <f t="shared" si="42"/>
        <v>0</v>
      </c>
      <c r="O454" s="172">
        <f t="shared" si="42"/>
        <v>0</v>
      </c>
      <c r="P454" s="172">
        <f t="shared" si="42"/>
        <v>0</v>
      </c>
      <c r="Q454" s="172">
        <f t="shared" si="42"/>
        <v>0</v>
      </c>
      <c r="R454" s="172">
        <f t="shared" si="42"/>
        <v>0</v>
      </c>
      <c r="S454" s="172">
        <f t="shared" si="42"/>
        <v>7000</v>
      </c>
      <c r="T454" s="172">
        <f t="shared" si="42"/>
        <v>0</v>
      </c>
      <c r="U454" s="172">
        <f t="shared" si="42"/>
        <v>0</v>
      </c>
      <c r="V454" s="172"/>
      <c r="W454" s="55"/>
      <c r="X454" s="55"/>
      <c r="Y454" s="55"/>
      <c r="Z454" s="55"/>
      <c r="AA454" s="120"/>
      <c r="AB454" s="120"/>
      <c r="AC454" s="120"/>
      <c r="AD454" s="120"/>
      <c r="AE454" s="120"/>
      <c r="AF454" s="120"/>
    </row>
    <row r="455" spans="1:32" s="120" customFormat="1" ht="40.200000000000003" customHeight="1">
      <c r="A455" s="70">
        <f>MAX(A$14:$A454)+1</f>
        <v>420</v>
      </c>
      <c r="B455" s="134" t="s">
        <v>1545</v>
      </c>
      <c r="C455" s="129" t="s">
        <v>632</v>
      </c>
      <c r="D455" s="78" t="s">
        <v>84</v>
      </c>
      <c r="E455" s="78" t="s">
        <v>84</v>
      </c>
      <c r="F455" s="78" t="s">
        <v>699</v>
      </c>
      <c r="G455" s="135" t="s">
        <v>1546</v>
      </c>
      <c r="H455" s="147" t="s">
        <v>1547</v>
      </c>
      <c r="I455" s="78" t="s">
        <v>668</v>
      </c>
      <c r="J455" s="148"/>
      <c r="K455" s="131">
        <v>7000</v>
      </c>
      <c r="L455" s="131"/>
      <c r="M455" s="131">
        <v>7000</v>
      </c>
      <c r="N455" s="149"/>
      <c r="O455" s="150"/>
      <c r="P455" s="150"/>
      <c r="Q455" s="151"/>
      <c r="R455" s="152"/>
      <c r="S455" s="131">
        <v>7000</v>
      </c>
      <c r="T455" s="131"/>
      <c r="U455" s="131"/>
      <c r="V455" s="153"/>
      <c r="W455" s="55">
        <v>7000</v>
      </c>
      <c r="X455" s="55"/>
      <c r="Y455" s="55"/>
      <c r="Z455" s="55"/>
      <c r="AA455" s="154"/>
    </row>
    <row r="456" spans="1:32" s="121" customFormat="1" ht="31.65" customHeight="1">
      <c r="A456" s="167" t="s">
        <v>1548</v>
      </c>
      <c r="B456" s="66" t="s">
        <v>1549</v>
      </c>
      <c r="C456" s="116"/>
      <c r="D456" s="116"/>
      <c r="E456" s="116"/>
      <c r="F456" s="116"/>
      <c r="G456" s="116"/>
      <c r="H456" s="116"/>
      <c r="I456" s="116"/>
      <c r="J456" s="116"/>
      <c r="K456" s="172">
        <f t="shared" ref="K456:T456" si="43">SUM(K457:K464)</f>
        <v>191000</v>
      </c>
      <c r="L456" s="172">
        <f t="shared" si="43"/>
        <v>0</v>
      </c>
      <c r="M456" s="172">
        <f t="shared" si="43"/>
        <v>191000</v>
      </c>
      <c r="N456" s="172">
        <f t="shared" si="43"/>
        <v>50000</v>
      </c>
      <c r="O456" s="172">
        <f t="shared" si="43"/>
        <v>50000</v>
      </c>
      <c r="P456" s="172">
        <f t="shared" si="43"/>
        <v>50100</v>
      </c>
      <c r="Q456" s="172">
        <f t="shared" si="43"/>
        <v>0</v>
      </c>
      <c r="R456" s="172">
        <f t="shared" si="43"/>
        <v>0</v>
      </c>
      <c r="S456" s="172">
        <f t="shared" si="43"/>
        <v>166000</v>
      </c>
      <c r="T456" s="172">
        <f t="shared" si="43"/>
        <v>19000</v>
      </c>
      <c r="U456" s="172">
        <f>SUM(U457:U464)</f>
        <v>19000</v>
      </c>
      <c r="V456" s="172"/>
      <c r="W456" s="55"/>
      <c r="X456" s="55"/>
      <c r="Y456" s="55"/>
      <c r="Z456" s="55"/>
      <c r="AA456" s="120"/>
      <c r="AB456" s="120"/>
      <c r="AC456" s="120"/>
      <c r="AD456" s="120"/>
      <c r="AE456" s="120"/>
      <c r="AF456" s="120"/>
    </row>
    <row r="457" spans="1:32" s="120" customFormat="1" ht="40.200000000000003" customHeight="1">
      <c r="A457" s="70">
        <f>MAX(A$14:$A456)+1</f>
        <v>421</v>
      </c>
      <c r="B457" s="134" t="s">
        <v>1550</v>
      </c>
      <c r="C457" s="129" t="s">
        <v>1551</v>
      </c>
      <c r="D457" s="78" t="s">
        <v>84</v>
      </c>
      <c r="E457" s="78" t="s">
        <v>84</v>
      </c>
      <c r="F457" s="78" t="s">
        <v>325</v>
      </c>
      <c r="G457" s="135" t="s">
        <v>1552</v>
      </c>
      <c r="H457" s="147" t="s">
        <v>1553</v>
      </c>
      <c r="I457" s="78" t="s">
        <v>1554</v>
      </c>
      <c r="J457" s="148"/>
      <c r="K457" s="131">
        <v>16000</v>
      </c>
      <c r="L457" s="131"/>
      <c r="M457" s="131">
        <v>16000</v>
      </c>
      <c r="N457" s="149"/>
      <c r="O457" s="150"/>
      <c r="P457" s="150"/>
      <c r="Q457" s="151"/>
      <c r="R457" s="152"/>
      <c r="S457" s="131">
        <v>16000</v>
      </c>
      <c r="T457" s="131"/>
      <c r="U457" s="131"/>
      <c r="V457" s="153"/>
      <c r="W457" s="55"/>
      <c r="X457" s="55"/>
      <c r="Y457" s="55"/>
      <c r="Z457" s="55"/>
      <c r="AA457" s="154"/>
    </row>
    <row r="458" spans="1:32" s="120" customFormat="1" ht="40.200000000000003" customHeight="1">
      <c r="A458" s="70">
        <f>MAX(A$14:$A457)+1</f>
        <v>422</v>
      </c>
      <c r="B458" s="134" t="s">
        <v>1555</v>
      </c>
      <c r="C458" s="129" t="s">
        <v>1551</v>
      </c>
      <c r="D458" s="78" t="s">
        <v>84</v>
      </c>
      <c r="E458" s="78" t="s">
        <v>84</v>
      </c>
      <c r="F458" s="78" t="s">
        <v>325</v>
      </c>
      <c r="G458" s="135" t="s">
        <v>1556</v>
      </c>
      <c r="H458" s="147" t="s">
        <v>1557</v>
      </c>
      <c r="I458" s="78" t="s">
        <v>1554</v>
      </c>
      <c r="J458" s="148"/>
      <c r="K458" s="131">
        <v>30000</v>
      </c>
      <c r="L458" s="131"/>
      <c r="M458" s="131">
        <v>30000</v>
      </c>
      <c r="N458" s="149"/>
      <c r="O458" s="150"/>
      <c r="P458" s="150"/>
      <c r="Q458" s="151"/>
      <c r="R458" s="152"/>
      <c r="S458" s="131">
        <v>30000</v>
      </c>
      <c r="T458" s="131"/>
      <c r="U458" s="131"/>
      <c r="V458" s="153"/>
      <c r="W458" s="55"/>
      <c r="X458" s="55"/>
      <c r="Y458" s="55"/>
      <c r="Z458" s="55"/>
      <c r="AA458" s="154"/>
    </row>
    <row r="459" spans="1:32" s="120" customFormat="1" ht="40.200000000000003" customHeight="1">
      <c r="A459" s="70">
        <f>MAX(A$14:$A458)+1</f>
        <v>423</v>
      </c>
      <c r="B459" s="134" t="s">
        <v>1558</v>
      </c>
      <c r="C459" s="129" t="s">
        <v>1551</v>
      </c>
      <c r="D459" s="78" t="s">
        <v>84</v>
      </c>
      <c r="E459" s="78" t="s">
        <v>84</v>
      </c>
      <c r="F459" s="78" t="s">
        <v>325</v>
      </c>
      <c r="G459" s="135" t="s">
        <v>1559</v>
      </c>
      <c r="H459" s="147" t="s">
        <v>1560</v>
      </c>
      <c r="I459" s="78" t="s">
        <v>1561</v>
      </c>
      <c r="J459" s="148"/>
      <c r="K459" s="131">
        <v>20000</v>
      </c>
      <c r="L459" s="131"/>
      <c r="M459" s="131">
        <v>20000</v>
      </c>
      <c r="N459" s="149"/>
      <c r="O459" s="150"/>
      <c r="P459" s="150"/>
      <c r="Q459" s="151"/>
      <c r="R459" s="152"/>
      <c r="S459" s="131">
        <v>20000</v>
      </c>
      <c r="T459" s="131"/>
      <c r="U459" s="131"/>
      <c r="V459" s="153"/>
      <c r="W459" s="55"/>
      <c r="X459" s="55"/>
      <c r="Y459" s="55"/>
      <c r="Z459" s="55"/>
      <c r="AA459" s="154"/>
    </row>
    <row r="460" spans="1:32" s="120" customFormat="1" ht="40.200000000000003" customHeight="1">
      <c r="A460" s="70">
        <f>MAX(A$14:$A459)+1</f>
        <v>424</v>
      </c>
      <c r="B460" s="134" t="s">
        <v>1562</v>
      </c>
      <c r="C460" s="129" t="s">
        <v>1551</v>
      </c>
      <c r="D460" s="78" t="s">
        <v>84</v>
      </c>
      <c r="E460" s="78" t="s">
        <v>84</v>
      </c>
      <c r="F460" s="78" t="s">
        <v>325</v>
      </c>
      <c r="G460" s="135" t="s">
        <v>1563</v>
      </c>
      <c r="H460" s="147" t="s">
        <v>1564</v>
      </c>
      <c r="I460" s="78" t="s">
        <v>1565</v>
      </c>
      <c r="J460" s="148"/>
      <c r="K460" s="131">
        <v>30000</v>
      </c>
      <c r="L460" s="131"/>
      <c r="M460" s="131">
        <v>30000</v>
      </c>
      <c r="N460" s="149"/>
      <c r="O460" s="150"/>
      <c r="P460" s="150"/>
      <c r="Q460" s="151"/>
      <c r="R460" s="152"/>
      <c r="S460" s="131">
        <v>30000</v>
      </c>
      <c r="T460" s="131"/>
      <c r="U460" s="131"/>
      <c r="V460" s="153"/>
      <c r="W460" s="55"/>
      <c r="X460" s="55"/>
      <c r="Y460" s="55"/>
      <c r="Z460" s="55"/>
      <c r="AA460" s="154"/>
    </row>
    <row r="461" spans="1:32" s="120" customFormat="1" ht="40.200000000000003" customHeight="1">
      <c r="A461" s="70">
        <f>MAX(A$14:$A460)+1</f>
        <v>425</v>
      </c>
      <c r="B461" s="134" t="s">
        <v>1566</v>
      </c>
      <c r="C461" s="129" t="s">
        <v>1551</v>
      </c>
      <c r="D461" s="78" t="s">
        <v>84</v>
      </c>
      <c r="E461" s="78" t="s">
        <v>84</v>
      </c>
      <c r="F461" s="78" t="s">
        <v>325</v>
      </c>
      <c r="G461" s="135" t="s">
        <v>1567</v>
      </c>
      <c r="H461" s="147" t="s">
        <v>1568</v>
      </c>
      <c r="I461" s="78" t="s">
        <v>1569</v>
      </c>
      <c r="J461" s="148"/>
      <c r="K461" s="131">
        <v>20000</v>
      </c>
      <c r="L461" s="131"/>
      <c r="M461" s="131">
        <v>20000</v>
      </c>
      <c r="N461" s="149"/>
      <c r="O461" s="150"/>
      <c r="P461" s="150"/>
      <c r="Q461" s="151"/>
      <c r="R461" s="152"/>
      <c r="S461" s="131">
        <v>20000</v>
      </c>
      <c r="T461" s="131"/>
      <c r="U461" s="131"/>
      <c r="V461" s="153"/>
      <c r="W461" s="55"/>
      <c r="X461" s="55"/>
      <c r="Y461" s="55"/>
      <c r="Z461" s="55"/>
      <c r="AA461" s="154"/>
    </row>
    <row r="462" spans="1:32" s="120" customFormat="1" ht="40.200000000000003" customHeight="1">
      <c r="A462" s="70">
        <f>MAX(A$14:$A461)+1</f>
        <v>426</v>
      </c>
      <c r="B462" s="134" t="s">
        <v>1570</v>
      </c>
      <c r="C462" s="129" t="s">
        <v>1551</v>
      </c>
      <c r="D462" s="78" t="s">
        <v>84</v>
      </c>
      <c r="E462" s="78" t="s">
        <v>84</v>
      </c>
      <c r="F462" s="78" t="s">
        <v>325</v>
      </c>
      <c r="G462" s="135" t="s">
        <v>1571</v>
      </c>
      <c r="H462" s="147" t="s">
        <v>1572</v>
      </c>
      <c r="I462" s="78" t="s">
        <v>568</v>
      </c>
      <c r="J462" s="148"/>
      <c r="K462" s="131">
        <v>50000</v>
      </c>
      <c r="L462" s="131"/>
      <c r="M462" s="131">
        <v>50000</v>
      </c>
      <c r="N462" s="149">
        <v>50000</v>
      </c>
      <c r="O462" s="131">
        <v>50000</v>
      </c>
      <c r="P462" s="131">
        <v>50000</v>
      </c>
      <c r="Q462" s="131"/>
      <c r="R462" s="131"/>
      <c r="S462" s="131">
        <v>50000</v>
      </c>
      <c r="T462" s="131"/>
      <c r="U462" s="131"/>
      <c r="V462" s="153"/>
      <c r="W462" s="55"/>
      <c r="X462" s="55"/>
      <c r="Y462" s="55"/>
      <c r="Z462" s="55"/>
      <c r="AA462" s="154"/>
    </row>
    <row r="463" spans="1:32" s="120" customFormat="1" ht="40.200000000000003" customHeight="1">
      <c r="A463" s="70">
        <f>MAX(A$14:$A462)+1</f>
        <v>427</v>
      </c>
      <c r="B463" s="134" t="s">
        <v>1573</v>
      </c>
      <c r="C463" s="129" t="s">
        <v>1551</v>
      </c>
      <c r="D463" s="78" t="s">
        <v>84</v>
      </c>
      <c r="E463" s="78" t="s">
        <v>84</v>
      </c>
      <c r="F463" s="78" t="s">
        <v>325</v>
      </c>
      <c r="G463" s="135"/>
      <c r="H463" s="147"/>
      <c r="I463" s="78" t="s">
        <v>416</v>
      </c>
      <c r="J463" s="148"/>
      <c r="K463" s="131">
        <v>15000</v>
      </c>
      <c r="L463" s="131"/>
      <c r="M463" s="131">
        <v>15000</v>
      </c>
      <c r="N463" s="149"/>
      <c r="O463" s="131"/>
      <c r="P463" s="131">
        <v>100</v>
      </c>
      <c r="Q463" s="131"/>
      <c r="R463" s="131"/>
      <c r="S463" s="131"/>
      <c r="T463" s="131">
        <v>12000</v>
      </c>
      <c r="U463" s="131">
        <v>12000</v>
      </c>
      <c r="V463" s="153"/>
      <c r="W463" s="55"/>
      <c r="X463" s="55"/>
      <c r="Y463" s="55"/>
      <c r="Z463" s="55"/>
      <c r="AA463" s="154"/>
    </row>
    <row r="464" spans="1:32" s="120" customFormat="1" ht="40.200000000000003" customHeight="1">
      <c r="A464" s="70">
        <f>MAX(A$14:$A463)+1</f>
        <v>428</v>
      </c>
      <c r="B464" s="134" t="s">
        <v>1574</v>
      </c>
      <c r="C464" s="129" t="s">
        <v>1551</v>
      </c>
      <c r="D464" s="78" t="s">
        <v>84</v>
      </c>
      <c r="E464" s="78" t="s">
        <v>84</v>
      </c>
      <c r="F464" s="78" t="s">
        <v>325</v>
      </c>
      <c r="G464" s="135"/>
      <c r="H464" s="147"/>
      <c r="I464" s="78" t="s">
        <v>416</v>
      </c>
      <c r="J464" s="148"/>
      <c r="K464" s="131">
        <v>10000</v>
      </c>
      <c r="L464" s="131"/>
      <c r="M464" s="131">
        <v>10000</v>
      </c>
      <c r="N464" s="149"/>
      <c r="O464" s="131"/>
      <c r="P464" s="131"/>
      <c r="Q464" s="131"/>
      <c r="R464" s="131"/>
      <c r="S464" s="131"/>
      <c r="T464" s="131">
        <v>7000</v>
      </c>
      <c r="U464" s="131">
        <v>7000</v>
      </c>
      <c r="V464" s="153"/>
      <c r="W464" s="55"/>
      <c r="X464" s="55"/>
      <c r="Y464" s="55"/>
      <c r="Z464" s="55"/>
      <c r="AA464" s="154"/>
    </row>
    <row r="465" spans="1:32" s="121" customFormat="1" ht="26.4">
      <c r="A465" s="65" t="s">
        <v>124</v>
      </c>
      <c r="B465" s="66" t="s">
        <v>1575</v>
      </c>
      <c r="C465" s="65"/>
      <c r="D465" s="65"/>
      <c r="E465" s="65"/>
      <c r="F465" s="65"/>
      <c r="G465" s="65"/>
      <c r="H465" s="65"/>
      <c r="I465" s="65"/>
      <c r="J465" s="65"/>
      <c r="K465" s="225"/>
      <c r="L465" s="172"/>
      <c r="M465" s="225"/>
      <c r="N465" s="172"/>
      <c r="O465" s="172"/>
      <c r="P465" s="172"/>
      <c r="Q465" s="225"/>
      <c r="R465" s="172"/>
      <c r="S465" s="225"/>
      <c r="T465" s="225"/>
      <c r="U465" s="225"/>
      <c r="V465" s="226"/>
      <c r="W465" s="55"/>
      <c r="X465" s="55"/>
      <c r="Y465" s="55"/>
      <c r="Z465" s="55"/>
      <c r="AA465" s="120"/>
      <c r="AB465" s="120"/>
      <c r="AC465" s="120"/>
      <c r="AD465" s="120"/>
      <c r="AE465" s="120"/>
      <c r="AF465" s="120"/>
    </row>
    <row r="466" spans="1:32">
      <c r="A466" s="227"/>
      <c r="B466" s="228"/>
      <c r="C466" s="46"/>
      <c r="D466" s="46"/>
      <c r="E466" s="46"/>
      <c r="F466" s="46"/>
      <c r="G466" s="229"/>
      <c r="H466" s="46"/>
      <c r="I466" s="46"/>
      <c r="J466" s="46"/>
      <c r="K466" s="46"/>
      <c r="L466" s="46"/>
      <c r="M466" s="46"/>
      <c r="N466" s="46"/>
      <c r="O466" s="46"/>
      <c r="P466" s="46"/>
      <c r="Q466" s="46"/>
      <c r="R466" s="46"/>
      <c r="S466" s="46"/>
      <c r="T466" s="46"/>
      <c r="U466" s="46"/>
      <c r="V466" s="46"/>
      <c r="W466" s="46"/>
      <c r="X466" s="46"/>
      <c r="Y466" s="46"/>
      <c r="Z466" s="46"/>
      <c r="AA466" s="46"/>
      <c r="AB466" s="46"/>
      <c r="AC466" s="46"/>
      <c r="AD466" s="46"/>
      <c r="AE466" s="46"/>
      <c r="AF466" s="46"/>
    </row>
    <row r="467" spans="1:32">
      <c r="A467" s="227"/>
      <c r="B467" s="228"/>
      <c r="C467" s="46"/>
      <c r="D467" s="46"/>
      <c r="E467" s="46"/>
      <c r="F467" s="46"/>
      <c r="G467" s="229"/>
      <c r="H467" s="46"/>
      <c r="I467" s="46"/>
      <c r="J467" s="46"/>
      <c r="K467" s="46"/>
      <c r="L467" s="46"/>
      <c r="M467" s="46"/>
      <c r="N467" s="46"/>
      <c r="O467" s="46"/>
      <c r="P467" s="46"/>
      <c r="Q467" s="46"/>
      <c r="R467" s="46"/>
      <c r="S467" s="46"/>
      <c r="T467" s="46"/>
      <c r="U467" s="46"/>
      <c r="V467" s="46"/>
      <c r="W467" s="46"/>
      <c r="X467" s="46"/>
      <c r="Y467" s="46"/>
      <c r="Z467" s="46"/>
      <c r="AA467" s="46"/>
      <c r="AB467" s="46"/>
      <c r="AC467" s="46"/>
      <c r="AD467" s="46"/>
      <c r="AE467" s="46"/>
      <c r="AF467" s="46"/>
    </row>
    <row r="468" spans="1:32">
      <c r="A468" s="227"/>
      <c r="B468" s="228"/>
      <c r="C468" s="46"/>
      <c r="D468" s="46"/>
      <c r="E468" s="46"/>
      <c r="F468" s="46"/>
      <c r="G468" s="229"/>
      <c r="H468" s="46"/>
      <c r="I468" s="46"/>
      <c r="J468" s="46"/>
      <c r="K468" s="46"/>
      <c r="L468" s="46"/>
      <c r="M468" s="46"/>
      <c r="N468" s="46"/>
      <c r="O468" s="46"/>
      <c r="P468" s="46"/>
      <c r="Q468" s="46"/>
      <c r="R468" s="46"/>
      <c r="S468" s="46"/>
      <c r="T468" s="46"/>
      <c r="U468" s="46"/>
      <c r="V468" s="46"/>
      <c r="W468" s="46"/>
      <c r="X468" s="46"/>
      <c r="Y468" s="46"/>
      <c r="Z468" s="46"/>
      <c r="AA468" s="46"/>
      <c r="AB468" s="46"/>
      <c r="AC468" s="46"/>
      <c r="AD468" s="46"/>
      <c r="AE468" s="46"/>
      <c r="AF468" s="46"/>
    </row>
    <row r="469" spans="1:32">
      <c r="A469" s="227"/>
      <c r="B469" s="228"/>
      <c r="C469" s="46"/>
      <c r="D469" s="46"/>
      <c r="E469" s="46"/>
      <c r="F469" s="46"/>
      <c r="G469" s="229"/>
      <c r="H469" s="46"/>
      <c r="I469" s="46"/>
      <c r="J469" s="46"/>
      <c r="K469" s="46"/>
      <c r="L469" s="46"/>
      <c r="M469" s="46"/>
      <c r="N469" s="46"/>
      <c r="O469" s="46"/>
      <c r="P469" s="46"/>
      <c r="Q469" s="46"/>
      <c r="R469" s="46"/>
      <c r="S469" s="46"/>
      <c r="T469" s="46"/>
      <c r="U469" s="46"/>
      <c r="V469" s="46"/>
      <c r="W469" s="46"/>
      <c r="X469" s="46"/>
      <c r="Y469" s="46"/>
      <c r="Z469" s="46"/>
      <c r="AA469" s="46"/>
      <c r="AB469" s="46"/>
      <c r="AC469" s="46"/>
      <c r="AD469" s="46"/>
      <c r="AE469" s="46"/>
      <c r="AF469" s="46"/>
    </row>
    <row r="470" spans="1:32">
      <c r="A470" s="227"/>
      <c r="B470" s="228"/>
      <c r="C470" s="46"/>
      <c r="D470" s="46"/>
      <c r="E470" s="46"/>
      <c r="F470" s="46"/>
      <c r="G470" s="229"/>
      <c r="H470" s="46"/>
      <c r="I470" s="46"/>
      <c r="J470" s="46"/>
      <c r="K470" s="46"/>
      <c r="L470" s="46"/>
      <c r="M470" s="46"/>
      <c r="N470" s="46"/>
      <c r="O470" s="46"/>
      <c r="P470" s="46"/>
      <c r="Q470" s="46"/>
      <c r="R470" s="46"/>
      <c r="S470" s="46"/>
      <c r="T470" s="46"/>
      <c r="U470" s="46"/>
      <c r="V470" s="46"/>
      <c r="W470" s="46"/>
      <c r="X470" s="46"/>
      <c r="Y470" s="46"/>
      <c r="Z470" s="46"/>
      <c r="AA470" s="46"/>
      <c r="AB470" s="46"/>
      <c r="AC470" s="46"/>
      <c r="AD470" s="46"/>
      <c r="AE470" s="46"/>
      <c r="AF470" s="46"/>
    </row>
    <row r="471" spans="1:32">
      <c r="A471" s="227"/>
      <c r="B471" s="228"/>
      <c r="C471" s="46"/>
      <c r="D471" s="46"/>
      <c r="E471" s="46"/>
      <c r="F471" s="46"/>
      <c r="G471" s="229"/>
      <c r="H471" s="46"/>
      <c r="I471" s="46"/>
      <c r="J471" s="46"/>
      <c r="K471" s="46"/>
      <c r="L471" s="46"/>
      <c r="M471" s="46"/>
      <c r="N471" s="46"/>
      <c r="O471" s="46"/>
      <c r="P471" s="46"/>
      <c r="Q471" s="46"/>
      <c r="R471" s="46"/>
      <c r="S471" s="46"/>
      <c r="T471" s="46"/>
      <c r="U471" s="46"/>
      <c r="V471" s="46"/>
      <c r="W471" s="46"/>
      <c r="X471" s="46"/>
      <c r="Y471" s="46"/>
      <c r="Z471" s="46"/>
      <c r="AA471" s="46"/>
      <c r="AB471" s="46"/>
      <c r="AC471" s="46"/>
      <c r="AD471" s="46"/>
      <c r="AE471" s="46"/>
      <c r="AF471" s="46"/>
    </row>
    <row r="472" spans="1:32">
      <c r="A472" s="227"/>
      <c r="B472" s="228"/>
      <c r="C472" s="46"/>
      <c r="D472" s="46"/>
      <c r="E472" s="46"/>
      <c r="F472" s="46"/>
      <c r="G472" s="229"/>
      <c r="H472" s="46"/>
      <c r="I472" s="46"/>
      <c r="J472" s="46"/>
      <c r="K472" s="46"/>
      <c r="L472" s="46"/>
      <c r="M472" s="46"/>
      <c r="N472" s="46"/>
      <c r="O472" s="46"/>
      <c r="P472" s="46"/>
      <c r="Q472" s="46"/>
      <c r="R472" s="46"/>
      <c r="S472" s="46"/>
      <c r="T472" s="46"/>
      <c r="U472" s="46"/>
      <c r="V472" s="46"/>
      <c r="W472" s="46"/>
      <c r="X472" s="46"/>
      <c r="Y472" s="46"/>
      <c r="Z472" s="46"/>
      <c r="AA472" s="46"/>
      <c r="AB472" s="46"/>
      <c r="AC472" s="46"/>
      <c r="AD472" s="46"/>
      <c r="AE472" s="46"/>
      <c r="AF472" s="46"/>
    </row>
    <row r="473" spans="1:32">
      <c r="A473" s="227"/>
      <c r="B473" s="228"/>
      <c r="C473" s="46"/>
      <c r="D473" s="46"/>
      <c r="E473" s="46"/>
      <c r="F473" s="46"/>
      <c r="G473" s="229"/>
      <c r="H473" s="46"/>
      <c r="I473" s="46"/>
      <c r="J473" s="46"/>
      <c r="K473" s="46"/>
      <c r="L473" s="46"/>
      <c r="M473" s="46"/>
      <c r="N473" s="46"/>
      <c r="O473" s="46"/>
      <c r="P473" s="46"/>
      <c r="Q473" s="46"/>
      <c r="R473" s="46"/>
      <c r="S473" s="46"/>
      <c r="T473" s="46"/>
      <c r="U473" s="46"/>
      <c r="V473" s="46"/>
      <c r="W473" s="46"/>
      <c r="X473" s="46"/>
      <c r="Y473" s="46"/>
      <c r="Z473" s="46"/>
      <c r="AA473" s="46"/>
      <c r="AB473" s="46"/>
      <c r="AC473" s="46"/>
      <c r="AD473" s="46"/>
      <c r="AE473" s="46"/>
      <c r="AF473" s="46"/>
    </row>
    <row r="474" spans="1:32">
      <c r="A474" s="227"/>
      <c r="B474" s="228"/>
      <c r="C474" s="46"/>
      <c r="D474" s="46"/>
      <c r="E474" s="46"/>
      <c r="F474" s="46"/>
      <c r="G474" s="229"/>
      <c r="H474" s="46"/>
      <c r="I474" s="46"/>
      <c r="J474" s="46"/>
      <c r="K474" s="46"/>
      <c r="L474" s="46"/>
      <c r="M474" s="46"/>
      <c r="N474" s="46"/>
      <c r="O474" s="46"/>
      <c r="P474" s="46"/>
      <c r="Q474" s="46"/>
      <c r="R474" s="46"/>
      <c r="S474" s="46"/>
      <c r="T474" s="46"/>
      <c r="U474" s="46"/>
      <c r="V474" s="46"/>
      <c r="W474" s="46"/>
      <c r="X474" s="46"/>
      <c r="Y474" s="46"/>
      <c r="Z474" s="46"/>
      <c r="AA474" s="46"/>
      <c r="AB474" s="46"/>
      <c r="AC474" s="46"/>
      <c r="AD474" s="46"/>
      <c r="AE474" s="46"/>
      <c r="AF474" s="46"/>
    </row>
    <row r="475" spans="1:32">
      <c r="A475" s="227"/>
      <c r="B475" s="228"/>
      <c r="C475" s="46"/>
      <c r="D475" s="46"/>
      <c r="E475" s="46"/>
      <c r="F475" s="46"/>
      <c r="G475" s="229"/>
      <c r="H475" s="46"/>
      <c r="I475" s="46"/>
      <c r="J475" s="46"/>
      <c r="K475" s="46"/>
      <c r="L475" s="46"/>
      <c r="M475" s="46"/>
      <c r="N475" s="46"/>
      <c r="O475" s="46"/>
      <c r="P475" s="46"/>
      <c r="Q475" s="46"/>
      <c r="R475" s="46"/>
      <c r="S475" s="46"/>
      <c r="T475" s="46"/>
      <c r="U475" s="46"/>
      <c r="V475" s="46"/>
      <c r="W475" s="46"/>
      <c r="X475" s="46"/>
      <c r="Y475" s="46"/>
      <c r="Z475" s="46"/>
      <c r="AA475" s="46"/>
      <c r="AB475" s="46"/>
      <c r="AC475" s="46"/>
      <c r="AD475" s="46"/>
      <c r="AE475" s="46"/>
      <c r="AF475" s="46"/>
    </row>
  </sheetData>
  <autoFilter ref="A9:AF465">
    <filterColumn colId="16" showButton="0"/>
    <filterColumn colId="17" showButton="0"/>
  </autoFilter>
  <mergeCells count="28">
    <mergeCell ref="A1:V1"/>
    <mergeCell ref="A2:V2"/>
    <mergeCell ref="A3:V3"/>
    <mergeCell ref="A4:V4"/>
    <mergeCell ref="A6:A9"/>
    <mergeCell ref="B6:B9"/>
    <mergeCell ref="C6:C9"/>
    <mergeCell ref="D6:D9"/>
    <mergeCell ref="E6:E9"/>
    <mergeCell ref="F6:F9"/>
    <mergeCell ref="G6:G9"/>
    <mergeCell ref="H6:H9"/>
    <mergeCell ref="I6:I9"/>
    <mergeCell ref="J6:M6"/>
    <mergeCell ref="N6:P6"/>
    <mergeCell ref="P8:P9"/>
    <mergeCell ref="T6:T9"/>
    <mergeCell ref="V6:V9"/>
    <mergeCell ref="J7:J9"/>
    <mergeCell ref="K7:K9"/>
    <mergeCell ref="L7:M7"/>
    <mergeCell ref="N7:N9"/>
    <mergeCell ref="O7:P7"/>
    <mergeCell ref="L8:L9"/>
    <mergeCell ref="M8:M9"/>
    <mergeCell ref="O8:O9"/>
    <mergeCell ref="Q6:S9"/>
    <mergeCell ref="U6:U9"/>
  </mergeCells>
  <pageMargins left="0.70866141732283472" right="0.70866141732283472" top="0.74803149606299213" bottom="0.74803149606299213" header="0.31496062992125984" footer="0.31496062992125984"/>
  <pageSetup scale="80" orientation="landscape" verticalDpi="0" r:id="rId1"/>
  <colBreaks count="1" manualBreakCount="1">
    <brk id="22"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Normal="100" workbookViewId="0">
      <selection activeCell="D6" sqref="D6:D9"/>
    </sheetView>
  </sheetViews>
  <sheetFormatPr defaultRowHeight="14.4"/>
  <cols>
    <col min="1" max="1" width="6" customWidth="1"/>
    <col min="2" max="2" width="43" customWidth="1"/>
    <col min="3" max="3" width="19" customWidth="1"/>
    <col min="4" max="4" width="13.5546875" customWidth="1"/>
    <col min="5" max="5" width="12.88671875" customWidth="1"/>
    <col min="6" max="7" width="12.5546875" customWidth="1"/>
    <col min="8" max="11" width="12.5546875" hidden="1" customWidth="1"/>
    <col min="12" max="12" width="14.5546875" customWidth="1"/>
    <col min="13" max="13" width="10.44140625" customWidth="1"/>
    <col min="260" max="260" width="28.109375" customWidth="1"/>
    <col min="261" max="261" width="25" customWidth="1"/>
    <col min="262" max="262" width="13.5546875" customWidth="1"/>
    <col min="263" max="263" width="12.88671875" customWidth="1"/>
    <col min="264" max="268" width="12.5546875" customWidth="1"/>
    <col min="269" max="269" width="22.33203125" customWidth="1"/>
    <col min="516" max="516" width="28.109375" customWidth="1"/>
    <col min="517" max="517" width="25" customWidth="1"/>
    <col min="518" max="518" width="13.5546875" customWidth="1"/>
    <col min="519" max="519" width="12.88671875" customWidth="1"/>
    <col min="520" max="524" width="12.5546875" customWidth="1"/>
    <col min="525" max="525" width="22.33203125" customWidth="1"/>
    <col min="772" max="772" width="28.109375" customWidth="1"/>
    <col min="773" max="773" width="25" customWidth="1"/>
    <col min="774" max="774" width="13.5546875" customWidth="1"/>
    <col min="775" max="775" width="12.88671875" customWidth="1"/>
    <col min="776" max="780" width="12.5546875" customWidth="1"/>
    <col min="781" max="781" width="22.33203125" customWidth="1"/>
    <col min="1028" max="1028" width="28.109375" customWidth="1"/>
    <col min="1029" max="1029" width="25" customWidth="1"/>
    <col min="1030" max="1030" width="13.5546875" customWidth="1"/>
    <col min="1031" max="1031" width="12.88671875" customWidth="1"/>
    <col min="1032" max="1036" width="12.5546875" customWidth="1"/>
    <col min="1037" max="1037" width="22.33203125" customWidth="1"/>
    <col min="1284" max="1284" width="28.109375" customWidth="1"/>
    <col min="1285" max="1285" width="25" customWidth="1"/>
    <col min="1286" max="1286" width="13.5546875" customWidth="1"/>
    <col min="1287" max="1287" width="12.88671875" customWidth="1"/>
    <col min="1288" max="1292" width="12.5546875" customWidth="1"/>
    <col min="1293" max="1293" width="22.33203125" customWidth="1"/>
    <col min="1540" max="1540" width="28.109375" customWidth="1"/>
    <col min="1541" max="1541" width="25" customWidth="1"/>
    <col min="1542" max="1542" width="13.5546875" customWidth="1"/>
    <col min="1543" max="1543" width="12.88671875" customWidth="1"/>
    <col min="1544" max="1548" width="12.5546875" customWidth="1"/>
    <col min="1549" max="1549" width="22.33203125" customWidth="1"/>
    <col min="1796" max="1796" width="28.109375" customWidth="1"/>
    <col min="1797" max="1797" width="25" customWidth="1"/>
    <col min="1798" max="1798" width="13.5546875" customWidth="1"/>
    <col min="1799" max="1799" width="12.88671875" customWidth="1"/>
    <col min="1800" max="1804" width="12.5546875" customWidth="1"/>
    <col min="1805" max="1805" width="22.33203125" customWidth="1"/>
    <col min="2052" max="2052" width="28.109375" customWidth="1"/>
    <col min="2053" max="2053" width="25" customWidth="1"/>
    <col min="2054" max="2054" width="13.5546875" customWidth="1"/>
    <col min="2055" max="2055" width="12.88671875" customWidth="1"/>
    <col min="2056" max="2060" width="12.5546875" customWidth="1"/>
    <col min="2061" max="2061" width="22.33203125" customWidth="1"/>
    <col min="2308" max="2308" width="28.109375" customWidth="1"/>
    <col min="2309" max="2309" width="25" customWidth="1"/>
    <col min="2310" max="2310" width="13.5546875" customWidth="1"/>
    <col min="2311" max="2311" width="12.88671875" customWidth="1"/>
    <col min="2312" max="2316" width="12.5546875" customWidth="1"/>
    <col min="2317" max="2317" width="22.33203125" customWidth="1"/>
    <col min="2564" max="2564" width="28.109375" customWidth="1"/>
    <col min="2565" max="2565" width="25" customWidth="1"/>
    <col min="2566" max="2566" width="13.5546875" customWidth="1"/>
    <col min="2567" max="2567" width="12.88671875" customWidth="1"/>
    <col min="2568" max="2572" width="12.5546875" customWidth="1"/>
    <col min="2573" max="2573" width="22.33203125" customWidth="1"/>
    <col min="2820" max="2820" width="28.109375" customWidth="1"/>
    <col min="2821" max="2821" width="25" customWidth="1"/>
    <col min="2822" max="2822" width="13.5546875" customWidth="1"/>
    <col min="2823" max="2823" width="12.88671875" customWidth="1"/>
    <col min="2824" max="2828" width="12.5546875" customWidth="1"/>
    <col min="2829" max="2829" width="22.33203125" customWidth="1"/>
    <col min="3076" max="3076" width="28.109375" customWidth="1"/>
    <col min="3077" max="3077" width="25" customWidth="1"/>
    <col min="3078" max="3078" width="13.5546875" customWidth="1"/>
    <col min="3079" max="3079" width="12.88671875" customWidth="1"/>
    <col min="3080" max="3084" width="12.5546875" customWidth="1"/>
    <col min="3085" max="3085" width="22.33203125" customWidth="1"/>
    <col min="3332" max="3332" width="28.109375" customWidth="1"/>
    <col min="3333" max="3333" width="25" customWidth="1"/>
    <col min="3334" max="3334" width="13.5546875" customWidth="1"/>
    <col min="3335" max="3335" width="12.88671875" customWidth="1"/>
    <col min="3336" max="3340" width="12.5546875" customWidth="1"/>
    <col min="3341" max="3341" width="22.33203125" customWidth="1"/>
    <col min="3588" max="3588" width="28.109375" customWidth="1"/>
    <col min="3589" max="3589" width="25" customWidth="1"/>
    <col min="3590" max="3590" width="13.5546875" customWidth="1"/>
    <col min="3591" max="3591" width="12.88671875" customWidth="1"/>
    <col min="3592" max="3596" width="12.5546875" customWidth="1"/>
    <col min="3597" max="3597" width="22.33203125" customWidth="1"/>
    <col min="3844" max="3844" width="28.109375" customWidth="1"/>
    <col min="3845" max="3845" width="25" customWidth="1"/>
    <col min="3846" max="3846" width="13.5546875" customWidth="1"/>
    <col min="3847" max="3847" width="12.88671875" customWidth="1"/>
    <col min="3848" max="3852" width="12.5546875" customWidth="1"/>
    <col min="3853" max="3853" width="22.33203125" customWidth="1"/>
    <col min="4100" max="4100" width="28.109375" customWidth="1"/>
    <col min="4101" max="4101" width="25" customWidth="1"/>
    <col min="4102" max="4102" width="13.5546875" customWidth="1"/>
    <col min="4103" max="4103" width="12.88671875" customWidth="1"/>
    <col min="4104" max="4108" width="12.5546875" customWidth="1"/>
    <col min="4109" max="4109" width="22.33203125" customWidth="1"/>
    <col min="4356" max="4356" width="28.109375" customWidth="1"/>
    <col min="4357" max="4357" width="25" customWidth="1"/>
    <col min="4358" max="4358" width="13.5546875" customWidth="1"/>
    <col min="4359" max="4359" width="12.88671875" customWidth="1"/>
    <col min="4360" max="4364" width="12.5546875" customWidth="1"/>
    <col min="4365" max="4365" width="22.33203125" customWidth="1"/>
    <col min="4612" max="4612" width="28.109375" customWidth="1"/>
    <col min="4613" max="4613" width="25" customWidth="1"/>
    <col min="4614" max="4614" width="13.5546875" customWidth="1"/>
    <col min="4615" max="4615" width="12.88671875" customWidth="1"/>
    <col min="4616" max="4620" width="12.5546875" customWidth="1"/>
    <col min="4621" max="4621" width="22.33203125" customWidth="1"/>
    <col min="4868" max="4868" width="28.109375" customWidth="1"/>
    <col min="4869" max="4869" width="25" customWidth="1"/>
    <col min="4870" max="4870" width="13.5546875" customWidth="1"/>
    <col min="4871" max="4871" width="12.88671875" customWidth="1"/>
    <col min="4872" max="4876" width="12.5546875" customWidth="1"/>
    <col min="4877" max="4877" width="22.33203125" customWidth="1"/>
    <col min="5124" max="5124" width="28.109375" customWidth="1"/>
    <col min="5125" max="5125" width="25" customWidth="1"/>
    <col min="5126" max="5126" width="13.5546875" customWidth="1"/>
    <col min="5127" max="5127" width="12.88671875" customWidth="1"/>
    <col min="5128" max="5132" width="12.5546875" customWidth="1"/>
    <col min="5133" max="5133" width="22.33203125" customWidth="1"/>
    <col min="5380" max="5380" width="28.109375" customWidth="1"/>
    <col min="5381" max="5381" width="25" customWidth="1"/>
    <col min="5382" max="5382" width="13.5546875" customWidth="1"/>
    <col min="5383" max="5383" width="12.88671875" customWidth="1"/>
    <col min="5384" max="5388" width="12.5546875" customWidth="1"/>
    <col min="5389" max="5389" width="22.33203125" customWidth="1"/>
    <col min="5636" max="5636" width="28.109375" customWidth="1"/>
    <col min="5637" max="5637" width="25" customWidth="1"/>
    <col min="5638" max="5638" width="13.5546875" customWidth="1"/>
    <col min="5639" max="5639" width="12.88671875" customWidth="1"/>
    <col min="5640" max="5644" width="12.5546875" customWidth="1"/>
    <col min="5645" max="5645" width="22.33203125" customWidth="1"/>
    <col min="5892" max="5892" width="28.109375" customWidth="1"/>
    <col min="5893" max="5893" width="25" customWidth="1"/>
    <col min="5894" max="5894" width="13.5546875" customWidth="1"/>
    <col min="5895" max="5895" width="12.88671875" customWidth="1"/>
    <col min="5896" max="5900" width="12.5546875" customWidth="1"/>
    <col min="5901" max="5901" width="22.33203125" customWidth="1"/>
    <col min="6148" max="6148" width="28.109375" customWidth="1"/>
    <col min="6149" max="6149" width="25" customWidth="1"/>
    <col min="6150" max="6150" width="13.5546875" customWidth="1"/>
    <col min="6151" max="6151" width="12.88671875" customWidth="1"/>
    <col min="6152" max="6156" width="12.5546875" customWidth="1"/>
    <col min="6157" max="6157" width="22.33203125" customWidth="1"/>
    <col min="6404" max="6404" width="28.109375" customWidth="1"/>
    <col min="6405" max="6405" width="25" customWidth="1"/>
    <col min="6406" max="6406" width="13.5546875" customWidth="1"/>
    <col min="6407" max="6407" width="12.88671875" customWidth="1"/>
    <col min="6408" max="6412" width="12.5546875" customWidth="1"/>
    <col min="6413" max="6413" width="22.33203125" customWidth="1"/>
    <col min="6660" max="6660" width="28.109375" customWidth="1"/>
    <col min="6661" max="6661" width="25" customWidth="1"/>
    <col min="6662" max="6662" width="13.5546875" customWidth="1"/>
    <col min="6663" max="6663" width="12.88671875" customWidth="1"/>
    <col min="6664" max="6668" width="12.5546875" customWidth="1"/>
    <col min="6669" max="6669" width="22.33203125" customWidth="1"/>
    <col min="6916" max="6916" width="28.109375" customWidth="1"/>
    <col min="6917" max="6917" width="25" customWidth="1"/>
    <col min="6918" max="6918" width="13.5546875" customWidth="1"/>
    <col min="6919" max="6919" width="12.88671875" customWidth="1"/>
    <col min="6920" max="6924" width="12.5546875" customWidth="1"/>
    <col min="6925" max="6925" width="22.33203125" customWidth="1"/>
    <col min="7172" max="7172" width="28.109375" customWidth="1"/>
    <col min="7173" max="7173" width="25" customWidth="1"/>
    <col min="7174" max="7174" width="13.5546875" customWidth="1"/>
    <col min="7175" max="7175" width="12.88671875" customWidth="1"/>
    <col min="7176" max="7180" width="12.5546875" customWidth="1"/>
    <col min="7181" max="7181" width="22.33203125" customWidth="1"/>
    <col min="7428" max="7428" width="28.109375" customWidth="1"/>
    <col min="7429" max="7429" width="25" customWidth="1"/>
    <col min="7430" max="7430" width="13.5546875" customWidth="1"/>
    <col min="7431" max="7431" width="12.88671875" customWidth="1"/>
    <col min="7432" max="7436" width="12.5546875" customWidth="1"/>
    <col min="7437" max="7437" width="22.33203125" customWidth="1"/>
    <col min="7684" max="7684" width="28.109375" customWidth="1"/>
    <col min="7685" max="7685" width="25" customWidth="1"/>
    <col min="7686" max="7686" width="13.5546875" customWidth="1"/>
    <col min="7687" max="7687" width="12.88671875" customWidth="1"/>
    <col min="7688" max="7692" width="12.5546875" customWidth="1"/>
    <col min="7693" max="7693" width="22.33203125" customWidth="1"/>
    <col min="7940" max="7940" width="28.109375" customWidth="1"/>
    <col min="7941" max="7941" width="25" customWidth="1"/>
    <col min="7942" max="7942" width="13.5546875" customWidth="1"/>
    <col min="7943" max="7943" width="12.88671875" customWidth="1"/>
    <col min="7944" max="7948" width="12.5546875" customWidth="1"/>
    <col min="7949" max="7949" width="22.33203125" customWidth="1"/>
    <col min="8196" max="8196" width="28.109375" customWidth="1"/>
    <col min="8197" max="8197" width="25" customWidth="1"/>
    <col min="8198" max="8198" width="13.5546875" customWidth="1"/>
    <col min="8199" max="8199" width="12.88671875" customWidth="1"/>
    <col min="8200" max="8204" width="12.5546875" customWidth="1"/>
    <col min="8205" max="8205" width="22.33203125" customWidth="1"/>
    <col min="8452" max="8452" width="28.109375" customWidth="1"/>
    <col min="8453" max="8453" width="25" customWidth="1"/>
    <col min="8454" max="8454" width="13.5546875" customWidth="1"/>
    <col min="8455" max="8455" width="12.88671875" customWidth="1"/>
    <col min="8456" max="8460" width="12.5546875" customWidth="1"/>
    <col min="8461" max="8461" width="22.33203125" customWidth="1"/>
    <col min="8708" max="8708" width="28.109375" customWidth="1"/>
    <col min="8709" max="8709" width="25" customWidth="1"/>
    <col min="8710" max="8710" width="13.5546875" customWidth="1"/>
    <col min="8711" max="8711" width="12.88671875" customWidth="1"/>
    <col min="8712" max="8716" width="12.5546875" customWidth="1"/>
    <col min="8717" max="8717" width="22.33203125" customWidth="1"/>
    <col min="8964" max="8964" width="28.109375" customWidth="1"/>
    <col min="8965" max="8965" width="25" customWidth="1"/>
    <col min="8966" max="8966" width="13.5546875" customWidth="1"/>
    <col min="8967" max="8967" width="12.88671875" customWidth="1"/>
    <col min="8968" max="8972" width="12.5546875" customWidth="1"/>
    <col min="8973" max="8973" width="22.33203125" customWidth="1"/>
    <col min="9220" max="9220" width="28.109375" customWidth="1"/>
    <col min="9221" max="9221" width="25" customWidth="1"/>
    <col min="9222" max="9222" width="13.5546875" customWidth="1"/>
    <col min="9223" max="9223" width="12.88671875" customWidth="1"/>
    <col min="9224" max="9228" width="12.5546875" customWidth="1"/>
    <col min="9229" max="9229" width="22.33203125" customWidth="1"/>
    <col min="9476" max="9476" width="28.109375" customWidth="1"/>
    <col min="9477" max="9477" width="25" customWidth="1"/>
    <col min="9478" max="9478" width="13.5546875" customWidth="1"/>
    <col min="9479" max="9479" width="12.88671875" customWidth="1"/>
    <col min="9480" max="9484" width="12.5546875" customWidth="1"/>
    <col min="9485" max="9485" width="22.33203125" customWidth="1"/>
    <col min="9732" max="9732" width="28.109375" customWidth="1"/>
    <col min="9733" max="9733" width="25" customWidth="1"/>
    <col min="9734" max="9734" width="13.5546875" customWidth="1"/>
    <col min="9735" max="9735" width="12.88671875" customWidth="1"/>
    <col min="9736" max="9740" width="12.5546875" customWidth="1"/>
    <col min="9741" max="9741" width="22.33203125" customWidth="1"/>
    <col min="9988" max="9988" width="28.109375" customWidth="1"/>
    <col min="9989" max="9989" width="25" customWidth="1"/>
    <col min="9990" max="9990" width="13.5546875" customWidth="1"/>
    <col min="9991" max="9991" width="12.88671875" customWidth="1"/>
    <col min="9992" max="9996" width="12.5546875" customWidth="1"/>
    <col min="9997" max="9997" width="22.33203125" customWidth="1"/>
    <col min="10244" max="10244" width="28.109375" customWidth="1"/>
    <col min="10245" max="10245" width="25" customWidth="1"/>
    <col min="10246" max="10246" width="13.5546875" customWidth="1"/>
    <col min="10247" max="10247" width="12.88671875" customWidth="1"/>
    <col min="10248" max="10252" width="12.5546875" customWidth="1"/>
    <col min="10253" max="10253" width="22.33203125" customWidth="1"/>
    <col min="10500" max="10500" width="28.109375" customWidth="1"/>
    <col min="10501" max="10501" width="25" customWidth="1"/>
    <col min="10502" max="10502" width="13.5546875" customWidth="1"/>
    <col min="10503" max="10503" width="12.88671875" customWidth="1"/>
    <col min="10504" max="10508" width="12.5546875" customWidth="1"/>
    <col min="10509" max="10509" width="22.33203125" customWidth="1"/>
    <col min="10756" max="10756" width="28.109375" customWidth="1"/>
    <col min="10757" max="10757" width="25" customWidth="1"/>
    <col min="10758" max="10758" width="13.5546875" customWidth="1"/>
    <col min="10759" max="10759" width="12.88671875" customWidth="1"/>
    <col min="10760" max="10764" width="12.5546875" customWidth="1"/>
    <col min="10765" max="10765" width="22.33203125" customWidth="1"/>
    <col min="11012" max="11012" width="28.109375" customWidth="1"/>
    <col min="11013" max="11013" width="25" customWidth="1"/>
    <col min="11014" max="11014" width="13.5546875" customWidth="1"/>
    <col min="11015" max="11015" width="12.88671875" customWidth="1"/>
    <col min="11016" max="11020" width="12.5546875" customWidth="1"/>
    <col min="11021" max="11021" width="22.33203125" customWidth="1"/>
    <col min="11268" max="11268" width="28.109375" customWidth="1"/>
    <col min="11269" max="11269" width="25" customWidth="1"/>
    <col min="11270" max="11270" width="13.5546875" customWidth="1"/>
    <col min="11271" max="11271" width="12.88671875" customWidth="1"/>
    <col min="11272" max="11276" width="12.5546875" customWidth="1"/>
    <col min="11277" max="11277" width="22.33203125" customWidth="1"/>
    <col min="11524" max="11524" width="28.109375" customWidth="1"/>
    <col min="11525" max="11525" width="25" customWidth="1"/>
    <col min="11526" max="11526" width="13.5546875" customWidth="1"/>
    <col min="11527" max="11527" width="12.88671875" customWidth="1"/>
    <col min="11528" max="11532" width="12.5546875" customWidth="1"/>
    <col min="11533" max="11533" width="22.33203125" customWidth="1"/>
    <col min="11780" max="11780" width="28.109375" customWidth="1"/>
    <col min="11781" max="11781" width="25" customWidth="1"/>
    <col min="11782" max="11782" width="13.5546875" customWidth="1"/>
    <col min="11783" max="11783" width="12.88671875" customWidth="1"/>
    <col min="11784" max="11788" width="12.5546875" customWidth="1"/>
    <col min="11789" max="11789" width="22.33203125" customWidth="1"/>
    <col min="12036" max="12036" width="28.109375" customWidth="1"/>
    <col min="12037" max="12037" width="25" customWidth="1"/>
    <col min="12038" max="12038" width="13.5546875" customWidth="1"/>
    <col min="12039" max="12039" width="12.88671875" customWidth="1"/>
    <col min="12040" max="12044" width="12.5546875" customWidth="1"/>
    <col min="12045" max="12045" width="22.33203125" customWidth="1"/>
    <col min="12292" max="12292" width="28.109375" customWidth="1"/>
    <col min="12293" max="12293" width="25" customWidth="1"/>
    <col min="12294" max="12294" width="13.5546875" customWidth="1"/>
    <col min="12295" max="12295" width="12.88671875" customWidth="1"/>
    <col min="12296" max="12300" width="12.5546875" customWidth="1"/>
    <col min="12301" max="12301" width="22.33203125" customWidth="1"/>
    <col min="12548" max="12548" width="28.109375" customWidth="1"/>
    <col min="12549" max="12549" width="25" customWidth="1"/>
    <col min="12550" max="12550" width="13.5546875" customWidth="1"/>
    <col min="12551" max="12551" width="12.88671875" customWidth="1"/>
    <col min="12552" max="12556" width="12.5546875" customWidth="1"/>
    <col min="12557" max="12557" width="22.33203125" customWidth="1"/>
    <col min="12804" max="12804" width="28.109375" customWidth="1"/>
    <col min="12805" max="12805" width="25" customWidth="1"/>
    <col min="12806" max="12806" width="13.5546875" customWidth="1"/>
    <col min="12807" max="12807" width="12.88671875" customWidth="1"/>
    <col min="12808" max="12812" width="12.5546875" customWidth="1"/>
    <col min="12813" max="12813" width="22.33203125" customWidth="1"/>
    <col min="13060" max="13060" width="28.109375" customWidth="1"/>
    <col min="13061" max="13061" width="25" customWidth="1"/>
    <col min="13062" max="13062" width="13.5546875" customWidth="1"/>
    <col min="13063" max="13063" width="12.88671875" customWidth="1"/>
    <col min="13064" max="13068" width="12.5546875" customWidth="1"/>
    <col min="13069" max="13069" width="22.33203125" customWidth="1"/>
    <col min="13316" max="13316" width="28.109375" customWidth="1"/>
    <col min="13317" max="13317" width="25" customWidth="1"/>
    <col min="13318" max="13318" width="13.5546875" customWidth="1"/>
    <col min="13319" max="13319" width="12.88671875" customWidth="1"/>
    <col min="13320" max="13324" width="12.5546875" customWidth="1"/>
    <col min="13325" max="13325" width="22.33203125" customWidth="1"/>
    <col min="13572" max="13572" width="28.109375" customWidth="1"/>
    <col min="13573" max="13573" width="25" customWidth="1"/>
    <col min="13574" max="13574" width="13.5546875" customWidth="1"/>
    <col min="13575" max="13575" width="12.88671875" customWidth="1"/>
    <col min="13576" max="13580" width="12.5546875" customWidth="1"/>
    <col min="13581" max="13581" width="22.33203125" customWidth="1"/>
    <col min="13828" max="13828" width="28.109375" customWidth="1"/>
    <col min="13829" max="13829" width="25" customWidth="1"/>
    <col min="13830" max="13830" width="13.5546875" customWidth="1"/>
    <col min="13831" max="13831" width="12.88671875" customWidth="1"/>
    <col min="13832" max="13836" width="12.5546875" customWidth="1"/>
    <col min="13837" max="13837" width="22.33203125" customWidth="1"/>
    <col min="14084" max="14084" width="28.109375" customWidth="1"/>
    <col min="14085" max="14085" width="25" customWidth="1"/>
    <col min="14086" max="14086" width="13.5546875" customWidth="1"/>
    <col min="14087" max="14087" width="12.88671875" customWidth="1"/>
    <col min="14088" max="14092" width="12.5546875" customWidth="1"/>
    <col min="14093" max="14093" width="22.33203125" customWidth="1"/>
    <col min="14340" max="14340" width="28.109375" customWidth="1"/>
    <col min="14341" max="14341" width="25" customWidth="1"/>
    <col min="14342" max="14342" width="13.5546875" customWidth="1"/>
    <col min="14343" max="14343" width="12.88671875" customWidth="1"/>
    <col min="14344" max="14348" width="12.5546875" customWidth="1"/>
    <col min="14349" max="14349" width="22.33203125" customWidth="1"/>
    <col min="14596" max="14596" width="28.109375" customWidth="1"/>
    <col min="14597" max="14597" width="25" customWidth="1"/>
    <col min="14598" max="14598" width="13.5546875" customWidth="1"/>
    <col min="14599" max="14599" width="12.88671875" customWidth="1"/>
    <col min="14600" max="14604" width="12.5546875" customWidth="1"/>
    <col min="14605" max="14605" width="22.33203125" customWidth="1"/>
    <col min="14852" max="14852" width="28.109375" customWidth="1"/>
    <col min="14853" max="14853" width="25" customWidth="1"/>
    <col min="14854" max="14854" width="13.5546875" customWidth="1"/>
    <col min="14855" max="14855" width="12.88671875" customWidth="1"/>
    <col min="14856" max="14860" width="12.5546875" customWidth="1"/>
    <col min="14861" max="14861" width="22.33203125" customWidth="1"/>
    <col min="15108" max="15108" width="28.109375" customWidth="1"/>
    <col min="15109" max="15109" width="25" customWidth="1"/>
    <col min="15110" max="15110" width="13.5546875" customWidth="1"/>
    <col min="15111" max="15111" width="12.88671875" customWidth="1"/>
    <col min="15112" max="15116" width="12.5546875" customWidth="1"/>
    <col min="15117" max="15117" width="22.33203125" customWidth="1"/>
    <col min="15364" max="15364" width="28.109375" customWidth="1"/>
    <col min="15365" max="15365" width="25" customWidth="1"/>
    <col min="15366" max="15366" width="13.5546875" customWidth="1"/>
    <col min="15367" max="15367" width="12.88671875" customWidth="1"/>
    <col min="15368" max="15372" width="12.5546875" customWidth="1"/>
    <col min="15373" max="15373" width="22.33203125" customWidth="1"/>
    <col min="15620" max="15620" width="28.109375" customWidth="1"/>
    <col min="15621" max="15621" width="25" customWidth="1"/>
    <col min="15622" max="15622" width="13.5546875" customWidth="1"/>
    <col min="15623" max="15623" width="12.88671875" customWidth="1"/>
    <col min="15624" max="15628" width="12.5546875" customWidth="1"/>
    <col min="15629" max="15629" width="22.33203125" customWidth="1"/>
    <col min="15876" max="15876" width="28.109375" customWidth="1"/>
    <col min="15877" max="15877" width="25" customWidth="1"/>
    <col min="15878" max="15878" width="13.5546875" customWidth="1"/>
    <col min="15879" max="15879" width="12.88671875" customWidth="1"/>
    <col min="15880" max="15884" width="12.5546875" customWidth="1"/>
    <col min="15885" max="15885" width="22.33203125" customWidth="1"/>
    <col min="16132" max="16132" width="28.109375" customWidth="1"/>
    <col min="16133" max="16133" width="25" customWidth="1"/>
    <col min="16134" max="16134" width="13.5546875" customWidth="1"/>
    <col min="16135" max="16135" width="12.88671875" customWidth="1"/>
    <col min="16136" max="16140" width="12.5546875" customWidth="1"/>
    <col min="16141" max="16141" width="22.33203125" customWidth="1"/>
  </cols>
  <sheetData>
    <row r="1" spans="1:13" ht="17.399999999999999">
      <c r="A1" s="906" t="s">
        <v>1891</v>
      </c>
      <c r="B1" s="906"/>
      <c r="C1" s="906"/>
      <c r="D1" s="906"/>
      <c r="E1" s="906"/>
      <c r="F1" s="906"/>
      <c r="G1" s="906"/>
      <c r="H1" s="906"/>
      <c r="I1" s="906"/>
      <c r="J1" s="906"/>
      <c r="K1" s="906"/>
      <c r="L1" s="906"/>
      <c r="M1" s="906"/>
    </row>
    <row r="2" spans="1:13" ht="19.5" customHeight="1">
      <c r="A2" s="906" t="s">
        <v>1770</v>
      </c>
      <c r="B2" s="906"/>
      <c r="C2" s="906"/>
      <c r="D2" s="906"/>
      <c r="E2" s="906"/>
      <c r="F2" s="906"/>
      <c r="G2" s="906"/>
      <c r="H2" s="906"/>
      <c r="I2" s="906"/>
      <c r="J2" s="906"/>
      <c r="K2" s="906"/>
      <c r="L2" s="906"/>
      <c r="M2" s="906"/>
    </row>
    <row r="3" spans="1:13" ht="18">
      <c r="A3" s="907" t="str">
        <f>PL1.KH25!A3</f>
        <v>(Kèm theo Nghị quyết số 24/NQ-HĐND  ngày 22 tháng 8 năm 2025 của HĐND tỉnh Quảng Ngãi)</v>
      </c>
      <c r="B3" s="907"/>
      <c r="C3" s="907"/>
      <c r="D3" s="907"/>
      <c r="E3" s="907"/>
      <c r="F3" s="907"/>
      <c r="G3" s="907"/>
      <c r="H3" s="907"/>
      <c r="I3" s="907"/>
      <c r="J3" s="907"/>
      <c r="K3" s="907"/>
      <c r="L3" s="907"/>
      <c r="M3" s="907"/>
    </row>
    <row r="4" spans="1:13" ht="21">
      <c r="A4" s="22"/>
      <c r="B4" s="22"/>
      <c r="C4" s="22"/>
      <c r="D4" s="22"/>
      <c r="E4" s="22"/>
      <c r="F4" s="22"/>
      <c r="G4" s="22"/>
      <c r="H4" s="22"/>
      <c r="I4" s="22"/>
      <c r="J4" s="22"/>
      <c r="K4" s="22"/>
      <c r="L4" s="22"/>
      <c r="M4" s="22"/>
    </row>
    <row r="5" spans="1:13" ht="18">
      <c r="A5" s="23"/>
      <c r="B5" s="24"/>
      <c r="C5" s="24"/>
      <c r="D5" s="23"/>
      <c r="E5" s="25"/>
      <c r="F5" s="23"/>
      <c r="G5" s="24"/>
      <c r="H5" s="924" t="s">
        <v>402</v>
      </c>
      <c r="I5" s="924"/>
      <c r="J5" s="924"/>
      <c r="K5" s="924"/>
      <c r="L5" s="924"/>
      <c r="M5" s="924"/>
    </row>
    <row r="6" spans="1:13" s="26" customFormat="1" ht="15.6">
      <c r="A6" s="905" t="s">
        <v>403</v>
      </c>
      <c r="B6" s="905" t="s">
        <v>404</v>
      </c>
      <c r="C6" s="905" t="s">
        <v>3</v>
      </c>
      <c r="D6" s="905" t="s">
        <v>405</v>
      </c>
      <c r="E6" s="905" t="s">
        <v>406</v>
      </c>
      <c r="F6" s="905"/>
      <c r="G6" s="905"/>
      <c r="H6" s="902" t="s">
        <v>407</v>
      </c>
      <c r="I6" s="902" t="s">
        <v>408</v>
      </c>
      <c r="J6" s="925" t="s">
        <v>409</v>
      </c>
      <c r="K6" s="925" t="s">
        <v>359</v>
      </c>
      <c r="L6" s="925" t="s">
        <v>1754</v>
      </c>
      <c r="M6" s="900" t="s">
        <v>16</v>
      </c>
    </row>
    <row r="7" spans="1:13" s="26" customFormat="1" ht="15.6">
      <c r="A7" s="905"/>
      <c r="B7" s="905"/>
      <c r="C7" s="905"/>
      <c r="D7" s="905"/>
      <c r="E7" s="905" t="s">
        <v>410</v>
      </c>
      <c r="F7" s="905" t="s">
        <v>411</v>
      </c>
      <c r="G7" s="905"/>
      <c r="H7" s="903"/>
      <c r="I7" s="903"/>
      <c r="J7" s="926"/>
      <c r="K7" s="926"/>
      <c r="L7" s="926"/>
      <c r="M7" s="900"/>
    </row>
    <row r="8" spans="1:13" s="26" customFormat="1" ht="15.6">
      <c r="A8" s="905"/>
      <c r="B8" s="905"/>
      <c r="C8" s="905"/>
      <c r="D8" s="905"/>
      <c r="E8" s="905"/>
      <c r="F8" s="905" t="s">
        <v>19</v>
      </c>
      <c r="G8" s="905" t="s">
        <v>412</v>
      </c>
      <c r="H8" s="903"/>
      <c r="I8" s="903"/>
      <c r="J8" s="926"/>
      <c r="K8" s="926"/>
      <c r="L8" s="926"/>
      <c r="M8" s="900"/>
    </row>
    <row r="9" spans="1:13" s="26" customFormat="1" ht="36" customHeight="1">
      <c r="A9" s="905"/>
      <c r="B9" s="905"/>
      <c r="C9" s="905"/>
      <c r="D9" s="905"/>
      <c r="E9" s="905"/>
      <c r="F9" s="905"/>
      <c r="G9" s="905"/>
      <c r="H9" s="904"/>
      <c r="I9" s="904"/>
      <c r="J9" s="927"/>
      <c r="K9" s="927"/>
      <c r="L9" s="927"/>
      <c r="M9" s="900"/>
    </row>
    <row r="10" spans="1:13" s="26" customFormat="1" ht="23.25" customHeight="1">
      <c r="A10" s="425"/>
      <c r="B10" s="425" t="s">
        <v>413</v>
      </c>
      <c r="C10" s="425"/>
      <c r="D10" s="425"/>
      <c r="E10" s="425"/>
      <c r="F10" s="426">
        <f t="shared" ref="F10:L10" si="0">SUM(F11:F12)</f>
        <v>1995000</v>
      </c>
      <c r="G10" s="426">
        <f t="shared" si="0"/>
        <v>1995000</v>
      </c>
      <c r="H10" s="426">
        <f t="shared" si="0"/>
        <v>0</v>
      </c>
      <c r="I10" s="426">
        <f t="shared" si="0"/>
        <v>0</v>
      </c>
      <c r="J10" s="426">
        <f t="shared" si="0"/>
        <v>1995000</v>
      </c>
      <c r="K10" s="426">
        <f t="shared" si="0"/>
        <v>365000</v>
      </c>
      <c r="L10" s="426">
        <f t="shared" si="0"/>
        <v>105000</v>
      </c>
      <c r="M10" s="427"/>
    </row>
    <row r="11" spans="1:13" s="26" customFormat="1" ht="41.4">
      <c r="A11" s="9">
        <v>1</v>
      </c>
      <c r="B11" s="366" t="s">
        <v>414</v>
      </c>
      <c r="C11" s="9" t="s">
        <v>415</v>
      </c>
      <c r="D11" s="9" t="s">
        <v>416</v>
      </c>
      <c r="E11" s="377"/>
      <c r="F11" s="367">
        <v>1940000</v>
      </c>
      <c r="G11" s="367">
        <v>1940000</v>
      </c>
      <c r="H11" s="428"/>
      <c r="I11" s="428"/>
      <c r="J11" s="367">
        <v>1940000</v>
      </c>
      <c r="K11" s="367">
        <v>310000</v>
      </c>
      <c r="L11" s="367">
        <v>70000</v>
      </c>
      <c r="M11" s="428"/>
    </row>
    <row r="12" spans="1:13" s="26" customFormat="1" ht="46.5" customHeight="1">
      <c r="A12" s="258">
        <v>2</v>
      </c>
      <c r="B12" s="417" t="s">
        <v>417</v>
      </c>
      <c r="C12" s="258" t="s">
        <v>418</v>
      </c>
      <c r="D12" s="258" t="s">
        <v>416</v>
      </c>
      <c r="E12" s="429"/>
      <c r="F12" s="430">
        <v>55000</v>
      </c>
      <c r="G12" s="430">
        <v>55000</v>
      </c>
      <c r="H12" s="431"/>
      <c r="I12" s="431"/>
      <c r="J12" s="430">
        <v>55000</v>
      </c>
      <c r="K12" s="430">
        <v>55000</v>
      </c>
      <c r="L12" s="430">
        <v>35000</v>
      </c>
      <c r="M12" s="431"/>
    </row>
  </sheetData>
  <mergeCells count="19">
    <mergeCell ref="G8:G9"/>
    <mergeCell ref="K6:K9"/>
    <mergeCell ref="L6:L9"/>
    <mergeCell ref="A1:M1"/>
    <mergeCell ref="A2:M2"/>
    <mergeCell ref="A3:M3"/>
    <mergeCell ref="H5:M5"/>
    <mergeCell ref="A6:A9"/>
    <mergeCell ref="B6:B9"/>
    <mergeCell ref="C6:C9"/>
    <mergeCell ref="D6:D9"/>
    <mergeCell ref="E6:G6"/>
    <mergeCell ref="H6:H9"/>
    <mergeCell ref="I6:I9"/>
    <mergeCell ref="J6:J9"/>
    <mergeCell ref="M6:M9"/>
    <mergeCell ref="E7:E9"/>
    <mergeCell ref="F7:G7"/>
    <mergeCell ref="F8:F9"/>
  </mergeCells>
  <pageMargins left="0.27559055118110237" right="0.23622047244094491" top="0.74803149606299213" bottom="0.74803149606299213" header="0.31496062992125984"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27"/>
  <sheetViews>
    <sheetView topLeftCell="A19" zoomScale="85" zoomScaleNormal="85" workbookViewId="0">
      <selection activeCell="H21" sqref="H21"/>
    </sheetView>
  </sheetViews>
  <sheetFormatPr defaultRowHeight="14.4" outlineLevelCol="1"/>
  <cols>
    <col min="1" max="1" width="5.44140625" style="800" customWidth="1"/>
    <col min="2" max="2" width="36.44140625" style="847" customWidth="1"/>
    <col min="3" max="3" width="13.5546875" style="848" customWidth="1"/>
    <col min="4" max="4" width="8" style="848" customWidth="1"/>
    <col min="5" max="5" width="15.33203125" style="849" customWidth="1"/>
    <col min="6" max="6" width="19" style="411" hidden="1" customWidth="1"/>
    <col min="7" max="7" width="17.88671875" style="850" hidden="1" customWidth="1"/>
    <col min="8" max="8" width="9.88671875" style="848" customWidth="1"/>
    <col min="9" max="9" width="10.44140625" style="453" customWidth="1"/>
    <col min="10" max="10" width="13.33203125" style="453" customWidth="1"/>
    <col min="11" max="11" width="12.44140625" style="453" bestFit="1" customWidth="1"/>
    <col min="12" max="12" width="11.33203125" style="453" hidden="1" customWidth="1"/>
    <col min="13" max="14" width="11.33203125" style="453" customWidth="1"/>
    <col min="15" max="15" width="11.33203125" style="453" hidden="1" customWidth="1"/>
    <col min="16" max="16" width="11.44140625" style="453" customWidth="1" outlineLevel="1"/>
    <col min="17" max="17" width="10.88671875" style="453" customWidth="1" outlineLevel="1"/>
    <col min="18" max="18" width="9.109375" style="453" hidden="1" customWidth="1" outlineLevel="1"/>
    <col min="19" max="19" width="12.109375" style="453" hidden="1" customWidth="1"/>
    <col min="20" max="20" width="12.44140625" style="453" hidden="1" customWidth="1"/>
    <col min="21" max="21" width="12.33203125" style="453" hidden="1" customWidth="1"/>
    <col min="22" max="26" width="12.33203125" style="453" hidden="1" customWidth="1" outlineLevel="1"/>
    <col min="27" max="27" width="12" style="453" customWidth="1" collapsed="1"/>
    <col min="28" max="28" width="13.44140625" style="411" customWidth="1"/>
    <col min="29" max="29" width="0" style="411" hidden="1" customWidth="1"/>
    <col min="30" max="30" width="10.5546875" style="411" hidden="1" customWidth="1"/>
    <col min="31" max="33" width="0" style="411" hidden="1" customWidth="1"/>
    <col min="34" max="264" width="8.88671875" style="411"/>
    <col min="265" max="265" width="5.44140625" style="411" customWidth="1"/>
    <col min="266" max="266" width="27.33203125" style="411" customWidth="1"/>
    <col min="267" max="267" width="12.88671875" style="411" customWidth="1"/>
    <col min="268" max="268" width="6.6640625" style="411" customWidth="1"/>
    <col min="269" max="269" width="7.5546875" style="411" customWidth="1"/>
    <col min="270" max="270" width="7.88671875" style="411" customWidth="1"/>
    <col min="271" max="271" width="10.33203125" style="411" customWidth="1"/>
    <col min="272" max="272" width="29.6640625" style="411" customWidth="1"/>
    <col min="273" max="273" width="7" style="411" customWidth="1"/>
    <col min="274" max="274" width="0" style="411" hidden="1" customWidth="1"/>
    <col min="275" max="275" width="12.109375" style="411" customWidth="1"/>
    <col min="276" max="276" width="12.44140625" style="411" bestFit="1" customWidth="1"/>
    <col min="277" max="277" width="11.33203125" style="411" bestFit="1" customWidth="1"/>
    <col min="278" max="280" width="0" style="411" hidden="1" customWidth="1"/>
    <col min="281" max="281" width="12.109375" style="411" customWidth="1"/>
    <col min="282" max="282" width="12.44140625" style="411" bestFit="1" customWidth="1"/>
    <col min="283" max="283" width="9.33203125" style="411" customWidth="1"/>
    <col min="284" max="284" width="14.33203125" style="411" customWidth="1"/>
    <col min="285" max="520" width="8.88671875" style="411"/>
    <col min="521" max="521" width="5.44140625" style="411" customWidth="1"/>
    <col min="522" max="522" width="27.33203125" style="411" customWidth="1"/>
    <col min="523" max="523" width="12.88671875" style="411" customWidth="1"/>
    <col min="524" max="524" width="6.6640625" style="411" customWidth="1"/>
    <col min="525" max="525" width="7.5546875" style="411" customWidth="1"/>
    <col min="526" max="526" width="7.88671875" style="411" customWidth="1"/>
    <col min="527" max="527" width="10.33203125" style="411" customWidth="1"/>
    <col min="528" max="528" width="29.6640625" style="411" customWidth="1"/>
    <col min="529" max="529" width="7" style="411" customWidth="1"/>
    <col min="530" max="530" width="0" style="411" hidden="1" customWidth="1"/>
    <col min="531" max="531" width="12.109375" style="411" customWidth="1"/>
    <col min="532" max="532" width="12.44140625" style="411" bestFit="1" customWidth="1"/>
    <col min="533" max="533" width="11.33203125" style="411" bestFit="1" customWidth="1"/>
    <col min="534" max="536" width="0" style="411" hidden="1" customWidth="1"/>
    <col min="537" max="537" width="12.109375" style="411" customWidth="1"/>
    <col min="538" max="538" width="12.44140625" style="411" bestFit="1" customWidth="1"/>
    <col min="539" max="539" width="9.33203125" style="411" customWidth="1"/>
    <col min="540" max="540" width="14.33203125" style="411" customWidth="1"/>
    <col min="541" max="776" width="8.88671875" style="411"/>
    <col min="777" max="777" width="5.44140625" style="411" customWidth="1"/>
    <col min="778" max="778" width="27.33203125" style="411" customWidth="1"/>
    <col min="779" max="779" width="12.88671875" style="411" customWidth="1"/>
    <col min="780" max="780" width="6.6640625" style="411" customWidth="1"/>
    <col min="781" max="781" width="7.5546875" style="411" customWidth="1"/>
    <col min="782" max="782" width="7.88671875" style="411" customWidth="1"/>
    <col min="783" max="783" width="10.33203125" style="411" customWidth="1"/>
    <col min="784" max="784" width="29.6640625" style="411" customWidth="1"/>
    <col min="785" max="785" width="7" style="411" customWidth="1"/>
    <col min="786" max="786" width="0" style="411" hidden="1" customWidth="1"/>
    <col min="787" max="787" width="12.109375" style="411" customWidth="1"/>
    <col min="788" max="788" width="12.44140625" style="411" bestFit="1" customWidth="1"/>
    <col min="789" max="789" width="11.33203125" style="411" bestFit="1" customWidth="1"/>
    <col min="790" max="792" width="0" style="411" hidden="1" customWidth="1"/>
    <col min="793" max="793" width="12.109375" style="411" customWidth="1"/>
    <col min="794" max="794" width="12.44140625" style="411" bestFit="1" customWidth="1"/>
    <col min="795" max="795" width="9.33203125" style="411" customWidth="1"/>
    <col min="796" max="796" width="14.33203125" style="411" customWidth="1"/>
    <col min="797" max="1032" width="8.88671875" style="411"/>
    <col min="1033" max="1033" width="5.44140625" style="411" customWidth="1"/>
    <col min="1034" max="1034" width="27.33203125" style="411" customWidth="1"/>
    <col min="1035" max="1035" width="12.88671875" style="411" customWidth="1"/>
    <col min="1036" max="1036" width="6.6640625" style="411" customWidth="1"/>
    <col min="1037" max="1037" width="7.5546875" style="411" customWidth="1"/>
    <col min="1038" max="1038" width="7.88671875" style="411" customWidth="1"/>
    <col min="1039" max="1039" width="10.33203125" style="411" customWidth="1"/>
    <col min="1040" max="1040" width="29.6640625" style="411" customWidth="1"/>
    <col min="1041" max="1041" width="7" style="411" customWidth="1"/>
    <col min="1042" max="1042" width="0" style="411" hidden="1" customWidth="1"/>
    <col min="1043" max="1043" width="12.109375" style="411" customWidth="1"/>
    <col min="1044" max="1044" width="12.44140625" style="411" bestFit="1" customWidth="1"/>
    <col min="1045" max="1045" width="11.33203125" style="411" bestFit="1" customWidth="1"/>
    <col min="1046" max="1048" width="0" style="411" hidden="1" customWidth="1"/>
    <col min="1049" max="1049" width="12.109375" style="411" customWidth="1"/>
    <col min="1050" max="1050" width="12.44140625" style="411" bestFit="1" customWidth="1"/>
    <col min="1051" max="1051" width="9.33203125" style="411" customWidth="1"/>
    <col min="1052" max="1052" width="14.33203125" style="411" customWidth="1"/>
    <col min="1053" max="1288" width="8.88671875" style="411"/>
    <col min="1289" max="1289" width="5.44140625" style="411" customWidth="1"/>
    <col min="1290" max="1290" width="27.33203125" style="411" customWidth="1"/>
    <col min="1291" max="1291" width="12.88671875" style="411" customWidth="1"/>
    <col min="1292" max="1292" width="6.6640625" style="411" customWidth="1"/>
    <col min="1293" max="1293" width="7.5546875" style="411" customWidth="1"/>
    <col min="1294" max="1294" width="7.88671875" style="411" customWidth="1"/>
    <col min="1295" max="1295" width="10.33203125" style="411" customWidth="1"/>
    <col min="1296" max="1296" width="29.6640625" style="411" customWidth="1"/>
    <col min="1297" max="1297" width="7" style="411" customWidth="1"/>
    <col min="1298" max="1298" width="0" style="411" hidden="1" customWidth="1"/>
    <col min="1299" max="1299" width="12.109375" style="411" customWidth="1"/>
    <col min="1300" max="1300" width="12.44140625" style="411" bestFit="1" customWidth="1"/>
    <col min="1301" max="1301" width="11.33203125" style="411" bestFit="1" customWidth="1"/>
    <col min="1302" max="1304" width="0" style="411" hidden="1" customWidth="1"/>
    <col min="1305" max="1305" width="12.109375" style="411" customWidth="1"/>
    <col min="1306" max="1306" width="12.44140625" style="411" bestFit="1" customWidth="1"/>
    <col min="1307" max="1307" width="9.33203125" style="411" customWidth="1"/>
    <col min="1308" max="1308" width="14.33203125" style="411" customWidth="1"/>
    <col min="1309" max="1544" width="8.88671875" style="411"/>
    <col min="1545" max="1545" width="5.44140625" style="411" customWidth="1"/>
    <col min="1546" max="1546" width="27.33203125" style="411" customWidth="1"/>
    <col min="1547" max="1547" width="12.88671875" style="411" customWidth="1"/>
    <col min="1548" max="1548" width="6.6640625" style="411" customWidth="1"/>
    <col min="1549" max="1549" width="7.5546875" style="411" customWidth="1"/>
    <col min="1550" max="1550" width="7.88671875" style="411" customWidth="1"/>
    <col min="1551" max="1551" width="10.33203125" style="411" customWidth="1"/>
    <col min="1552" max="1552" width="29.6640625" style="411" customWidth="1"/>
    <col min="1553" max="1553" width="7" style="411" customWidth="1"/>
    <col min="1554" max="1554" width="0" style="411" hidden="1" customWidth="1"/>
    <col min="1555" max="1555" width="12.109375" style="411" customWidth="1"/>
    <col min="1556" max="1556" width="12.44140625" style="411" bestFit="1" customWidth="1"/>
    <col min="1557" max="1557" width="11.33203125" style="411" bestFit="1" customWidth="1"/>
    <col min="1558" max="1560" width="0" style="411" hidden="1" customWidth="1"/>
    <col min="1561" max="1561" width="12.109375" style="411" customWidth="1"/>
    <col min="1562" max="1562" width="12.44140625" style="411" bestFit="1" customWidth="1"/>
    <col min="1563" max="1563" width="9.33203125" style="411" customWidth="1"/>
    <col min="1564" max="1564" width="14.33203125" style="411" customWidth="1"/>
    <col min="1565" max="1800" width="8.88671875" style="411"/>
    <col min="1801" max="1801" width="5.44140625" style="411" customWidth="1"/>
    <col min="1802" max="1802" width="27.33203125" style="411" customWidth="1"/>
    <col min="1803" max="1803" width="12.88671875" style="411" customWidth="1"/>
    <col min="1804" max="1804" width="6.6640625" style="411" customWidth="1"/>
    <col min="1805" max="1805" width="7.5546875" style="411" customWidth="1"/>
    <col min="1806" max="1806" width="7.88671875" style="411" customWidth="1"/>
    <col min="1807" max="1807" width="10.33203125" style="411" customWidth="1"/>
    <col min="1808" max="1808" width="29.6640625" style="411" customWidth="1"/>
    <col min="1809" max="1809" width="7" style="411" customWidth="1"/>
    <col min="1810" max="1810" width="0" style="411" hidden="1" customWidth="1"/>
    <col min="1811" max="1811" width="12.109375" style="411" customWidth="1"/>
    <col min="1812" max="1812" width="12.44140625" style="411" bestFit="1" customWidth="1"/>
    <col min="1813" max="1813" width="11.33203125" style="411" bestFit="1" customWidth="1"/>
    <col min="1814" max="1816" width="0" style="411" hidden="1" customWidth="1"/>
    <col min="1817" max="1817" width="12.109375" style="411" customWidth="1"/>
    <col min="1818" max="1818" width="12.44140625" style="411" bestFit="1" customWidth="1"/>
    <col min="1819" max="1819" width="9.33203125" style="411" customWidth="1"/>
    <col min="1820" max="1820" width="14.33203125" style="411" customWidth="1"/>
    <col min="1821" max="2056" width="8.88671875" style="411"/>
    <col min="2057" max="2057" width="5.44140625" style="411" customWidth="1"/>
    <col min="2058" max="2058" width="27.33203125" style="411" customWidth="1"/>
    <col min="2059" max="2059" width="12.88671875" style="411" customWidth="1"/>
    <col min="2060" max="2060" width="6.6640625" style="411" customWidth="1"/>
    <col min="2061" max="2061" width="7.5546875" style="411" customWidth="1"/>
    <col min="2062" max="2062" width="7.88671875" style="411" customWidth="1"/>
    <col min="2063" max="2063" width="10.33203125" style="411" customWidth="1"/>
    <col min="2064" max="2064" width="29.6640625" style="411" customWidth="1"/>
    <col min="2065" max="2065" width="7" style="411" customWidth="1"/>
    <col min="2066" max="2066" width="0" style="411" hidden="1" customWidth="1"/>
    <col min="2067" max="2067" width="12.109375" style="411" customWidth="1"/>
    <col min="2068" max="2068" width="12.44140625" style="411" bestFit="1" customWidth="1"/>
    <col min="2069" max="2069" width="11.33203125" style="411" bestFit="1" customWidth="1"/>
    <col min="2070" max="2072" width="0" style="411" hidden="1" customWidth="1"/>
    <col min="2073" max="2073" width="12.109375" style="411" customWidth="1"/>
    <col min="2074" max="2074" width="12.44140625" style="411" bestFit="1" customWidth="1"/>
    <col min="2075" max="2075" width="9.33203125" style="411" customWidth="1"/>
    <col min="2076" max="2076" width="14.33203125" style="411" customWidth="1"/>
    <col min="2077" max="2312" width="8.88671875" style="411"/>
    <col min="2313" max="2313" width="5.44140625" style="411" customWidth="1"/>
    <col min="2314" max="2314" width="27.33203125" style="411" customWidth="1"/>
    <col min="2315" max="2315" width="12.88671875" style="411" customWidth="1"/>
    <col min="2316" max="2316" width="6.6640625" style="411" customWidth="1"/>
    <col min="2317" max="2317" width="7.5546875" style="411" customWidth="1"/>
    <col min="2318" max="2318" width="7.88671875" style="411" customWidth="1"/>
    <col min="2319" max="2319" width="10.33203125" style="411" customWidth="1"/>
    <col min="2320" max="2320" width="29.6640625" style="411" customWidth="1"/>
    <col min="2321" max="2321" width="7" style="411" customWidth="1"/>
    <col min="2322" max="2322" width="0" style="411" hidden="1" customWidth="1"/>
    <col min="2323" max="2323" width="12.109375" style="411" customWidth="1"/>
    <col min="2324" max="2324" width="12.44140625" style="411" bestFit="1" customWidth="1"/>
    <col min="2325" max="2325" width="11.33203125" style="411" bestFit="1" customWidth="1"/>
    <col min="2326" max="2328" width="0" style="411" hidden="1" customWidth="1"/>
    <col min="2329" max="2329" width="12.109375" style="411" customWidth="1"/>
    <col min="2330" max="2330" width="12.44140625" style="411" bestFit="1" customWidth="1"/>
    <col min="2331" max="2331" width="9.33203125" style="411" customWidth="1"/>
    <col min="2332" max="2332" width="14.33203125" style="411" customWidth="1"/>
    <col min="2333" max="2568" width="8.88671875" style="411"/>
    <col min="2569" max="2569" width="5.44140625" style="411" customWidth="1"/>
    <col min="2570" max="2570" width="27.33203125" style="411" customWidth="1"/>
    <col min="2571" max="2571" width="12.88671875" style="411" customWidth="1"/>
    <col min="2572" max="2572" width="6.6640625" style="411" customWidth="1"/>
    <col min="2573" max="2573" width="7.5546875" style="411" customWidth="1"/>
    <col min="2574" max="2574" width="7.88671875" style="411" customWidth="1"/>
    <col min="2575" max="2575" width="10.33203125" style="411" customWidth="1"/>
    <col min="2576" max="2576" width="29.6640625" style="411" customWidth="1"/>
    <col min="2577" max="2577" width="7" style="411" customWidth="1"/>
    <col min="2578" max="2578" width="0" style="411" hidden="1" customWidth="1"/>
    <col min="2579" max="2579" width="12.109375" style="411" customWidth="1"/>
    <col min="2580" max="2580" width="12.44140625" style="411" bestFit="1" customWidth="1"/>
    <col min="2581" max="2581" width="11.33203125" style="411" bestFit="1" customWidth="1"/>
    <col min="2582" max="2584" width="0" style="411" hidden="1" customWidth="1"/>
    <col min="2585" max="2585" width="12.109375" style="411" customWidth="1"/>
    <col min="2586" max="2586" width="12.44140625" style="411" bestFit="1" customWidth="1"/>
    <col min="2587" max="2587" width="9.33203125" style="411" customWidth="1"/>
    <col min="2588" max="2588" width="14.33203125" style="411" customWidth="1"/>
    <col min="2589" max="2824" width="8.88671875" style="411"/>
    <col min="2825" max="2825" width="5.44140625" style="411" customWidth="1"/>
    <col min="2826" max="2826" width="27.33203125" style="411" customWidth="1"/>
    <col min="2827" max="2827" width="12.88671875" style="411" customWidth="1"/>
    <col min="2828" max="2828" width="6.6640625" style="411" customWidth="1"/>
    <col min="2829" max="2829" width="7.5546875" style="411" customWidth="1"/>
    <col min="2830" max="2830" width="7.88671875" style="411" customWidth="1"/>
    <col min="2831" max="2831" width="10.33203125" style="411" customWidth="1"/>
    <col min="2832" max="2832" width="29.6640625" style="411" customWidth="1"/>
    <col min="2833" max="2833" width="7" style="411" customWidth="1"/>
    <col min="2834" max="2834" width="0" style="411" hidden="1" customWidth="1"/>
    <col min="2835" max="2835" width="12.109375" style="411" customWidth="1"/>
    <col min="2836" max="2836" width="12.44140625" style="411" bestFit="1" customWidth="1"/>
    <col min="2837" max="2837" width="11.33203125" style="411" bestFit="1" customWidth="1"/>
    <col min="2838" max="2840" width="0" style="411" hidden="1" customWidth="1"/>
    <col min="2841" max="2841" width="12.109375" style="411" customWidth="1"/>
    <col min="2842" max="2842" width="12.44140625" style="411" bestFit="1" customWidth="1"/>
    <col min="2843" max="2843" width="9.33203125" style="411" customWidth="1"/>
    <col min="2844" max="2844" width="14.33203125" style="411" customWidth="1"/>
    <col min="2845" max="3080" width="8.88671875" style="411"/>
    <col min="3081" max="3081" width="5.44140625" style="411" customWidth="1"/>
    <col min="3082" max="3082" width="27.33203125" style="411" customWidth="1"/>
    <col min="3083" max="3083" width="12.88671875" style="411" customWidth="1"/>
    <col min="3084" max="3084" width="6.6640625" style="411" customWidth="1"/>
    <col min="3085" max="3085" width="7.5546875" style="411" customWidth="1"/>
    <col min="3086" max="3086" width="7.88671875" style="411" customWidth="1"/>
    <col min="3087" max="3087" width="10.33203125" style="411" customWidth="1"/>
    <col min="3088" max="3088" width="29.6640625" style="411" customWidth="1"/>
    <col min="3089" max="3089" width="7" style="411" customWidth="1"/>
    <col min="3090" max="3090" width="0" style="411" hidden="1" customWidth="1"/>
    <col min="3091" max="3091" width="12.109375" style="411" customWidth="1"/>
    <col min="3092" max="3092" width="12.44140625" style="411" bestFit="1" customWidth="1"/>
    <col min="3093" max="3093" width="11.33203125" style="411" bestFit="1" customWidth="1"/>
    <col min="3094" max="3096" width="0" style="411" hidden="1" customWidth="1"/>
    <col min="3097" max="3097" width="12.109375" style="411" customWidth="1"/>
    <col min="3098" max="3098" width="12.44140625" style="411" bestFit="1" customWidth="1"/>
    <col min="3099" max="3099" width="9.33203125" style="411" customWidth="1"/>
    <col min="3100" max="3100" width="14.33203125" style="411" customWidth="1"/>
    <col min="3101" max="3336" width="8.88671875" style="411"/>
    <col min="3337" max="3337" width="5.44140625" style="411" customWidth="1"/>
    <col min="3338" max="3338" width="27.33203125" style="411" customWidth="1"/>
    <col min="3339" max="3339" width="12.88671875" style="411" customWidth="1"/>
    <col min="3340" max="3340" width="6.6640625" style="411" customWidth="1"/>
    <col min="3341" max="3341" width="7.5546875" style="411" customWidth="1"/>
    <col min="3342" max="3342" width="7.88671875" style="411" customWidth="1"/>
    <col min="3343" max="3343" width="10.33203125" style="411" customWidth="1"/>
    <col min="3344" max="3344" width="29.6640625" style="411" customWidth="1"/>
    <col min="3345" max="3345" width="7" style="411" customWidth="1"/>
    <col min="3346" max="3346" width="0" style="411" hidden="1" customWidth="1"/>
    <col min="3347" max="3347" width="12.109375" style="411" customWidth="1"/>
    <col min="3348" max="3348" width="12.44140625" style="411" bestFit="1" customWidth="1"/>
    <col min="3349" max="3349" width="11.33203125" style="411" bestFit="1" customWidth="1"/>
    <col min="3350" max="3352" width="0" style="411" hidden="1" customWidth="1"/>
    <col min="3353" max="3353" width="12.109375" style="411" customWidth="1"/>
    <col min="3354" max="3354" width="12.44140625" style="411" bestFit="1" customWidth="1"/>
    <col min="3355" max="3355" width="9.33203125" style="411" customWidth="1"/>
    <col min="3356" max="3356" width="14.33203125" style="411" customWidth="1"/>
    <col min="3357" max="3592" width="8.88671875" style="411"/>
    <col min="3593" max="3593" width="5.44140625" style="411" customWidth="1"/>
    <col min="3594" max="3594" width="27.33203125" style="411" customWidth="1"/>
    <col min="3595" max="3595" width="12.88671875" style="411" customWidth="1"/>
    <col min="3596" max="3596" width="6.6640625" style="411" customWidth="1"/>
    <col min="3597" max="3597" width="7.5546875" style="411" customWidth="1"/>
    <col min="3598" max="3598" width="7.88671875" style="411" customWidth="1"/>
    <col min="3599" max="3599" width="10.33203125" style="411" customWidth="1"/>
    <col min="3600" max="3600" width="29.6640625" style="411" customWidth="1"/>
    <col min="3601" max="3601" width="7" style="411" customWidth="1"/>
    <col min="3602" max="3602" width="0" style="411" hidden="1" customWidth="1"/>
    <col min="3603" max="3603" width="12.109375" style="411" customWidth="1"/>
    <col min="3604" max="3604" width="12.44140625" style="411" bestFit="1" customWidth="1"/>
    <col min="3605" max="3605" width="11.33203125" style="411" bestFit="1" customWidth="1"/>
    <col min="3606" max="3608" width="0" style="411" hidden="1" customWidth="1"/>
    <col min="3609" max="3609" width="12.109375" style="411" customWidth="1"/>
    <col min="3610" max="3610" width="12.44140625" style="411" bestFit="1" customWidth="1"/>
    <col min="3611" max="3611" width="9.33203125" style="411" customWidth="1"/>
    <col min="3612" max="3612" width="14.33203125" style="411" customWidth="1"/>
    <col min="3613" max="3848" width="8.88671875" style="411"/>
    <col min="3849" max="3849" width="5.44140625" style="411" customWidth="1"/>
    <col min="3850" max="3850" width="27.33203125" style="411" customWidth="1"/>
    <col min="3851" max="3851" width="12.88671875" style="411" customWidth="1"/>
    <col min="3852" max="3852" width="6.6640625" style="411" customWidth="1"/>
    <col min="3853" max="3853" width="7.5546875" style="411" customWidth="1"/>
    <col min="3854" max="3854" width="7.88671875" style="411" customWidth="1"/>
    <col min="3855" max="3855" width="10.33203125" style="411" customWidth="1"/>
    <col min="3856" max="3856" width="29.6640625" style="411" customWidth="1"/>
    <col min="3857" max="3857" width="7" style="411" customWidth="1"/>
    <col min="3858" max="3858" width="0" style="411" hidden="1" customWidth="1"/>
    <col min="3859" max="3859" width="12.109375" style="411" customWidth="1"/>
    <col min="3860" max="3860" width="12.44140625" style="411" bestFit="1" customWidth="1"/>
    <col min="3861" max="3861" width="11.33203125" style="411" bestFit="1" customWidth="1"/>
    <col min="3862" max="3864" width="0" style="411" hidden="1" customWidth="1"/>
    <col min="3865" max="3865" width="12.109375" style="411" customWidth="1"/>
    <col min="3866" max="3866" width="12.44140625" style="411" bestFit="1" customWidth="1"/>
    <col min="3867" max="3867" width="9.33203125" style="411" customWidth="1"/>
    <col min="3868" max="3868" width="14.33203125" style="411" customWidth="1"/>
    <col min="3869" max="4104" width="8.88671875" style="411"/>
    <col min="4105" max="4105" width="5.44140625" style="411" customWidth="1"/>
    <col min="4106" max="4106" width="27.33203125" style="411" customWidth="1"/>
    <col min="4107" max="4107" width="12.88671875" style="411" customWidth="1"/>
    <col min="4108" max="4108" width="6.6640625" style="411" customWidth="1"/>
    <col min="4109" max="4109" width="7.5546875" style="411" customWidth="1"/>
    <col min="4110" max="4110" width="7.88671875" style="411" customWidth="1"/>
    <col min="4111" max="4111" width="10.33203125" style="411" customWidth="1"/>
    <col min="4112" max="4112" width="29.6640625" style="411" customWidth="1"/>
    <col min="4113" max="4113" width="7" style="411" customWidth="1"/>
    <col min="4114" max="4114" width="0" style="411" hidden="1" customWidth="1"/>
    <col min="4115" max="4115" width="12.109375" style="411" customWidth="1"/>
    <col min="4116" max="4116" width="12.44140625" style="411" bestFit="1" customWidth="1"/>
    <col min="4117" max="4117" width="11.33203125" style="411" bestFit="1" customWidth="1"/>
    <col min="4118" max="4120" width="0" style="411" hidden="1" customWidth="1"/>
    <col min="4121" max="4121" width="12.109375" style="411" customWidth="1"/>
    <col min="4122" max="4122" width="12.44140625" style="411" bestFit="1" customWidth="1"/>
    <col min="4123" max="4123" width="9.33203125" style="411" customWidth="1"/>
    <col min="4124" max="4124" width="14.33203125" style="411" customWidth="1"/>
    <col min="4125" max="4360" width="8.88671875" style="411"/>
    <col min="4361" max="4361" width="5.44140625" style="411" customWidth="1"/>
    <col min="4362" max="4362" width="27.33203125" style="411" customWidth="1"/>
    <col min="4363" max="4363" width="12.88671875" style="411" customWidth="1"/>
    <col min="4364" max="4364" width="6.6640625" style="411" customWidth="1"/>
    <col min="4365" max="4365" width="7.5546875" style="411" customWidth="1"/>
    <col min="4366" max="4366" width="7.88671875" style="411" customWidth="1"/>
    <col min="4367" max="4367" width="10.33203125" style="411" customWidth="1"/>
    <col min="4368" max="4368" width="29.6640625" style="411" customWidth="1"/>
    <col min="4369" max="4369" width="7" style="411" customWidth="1"/>
    <col min="4370" max="4370" width="0" style="411" hidden="1" customWidth="1"/>
    <col min="4371" max="4371" width="12.109375" style="411" customWidth="1"/>
    <col min="4372" max="4372" width="12.44140625" style="411" bestFit="1" customWidth="1"/>
    <col min="4373" max="4373" width="11.33203125" style="411" bestFit="1" customWidth="1"/>
    <col min="4374" max="4376" width="0" style="411" hidden="1" customWidth="1"/>
    <col min="4377" max="4377" width="12.109375" style="411" customWidth="1"/>
    <col min="4378" max="4378" width="12.44140625" style="411" bestFit="1" customWidth="1"/>
    <col min="4379" max="4379" width="9.33203125" style="411" customWidth="1"/>
    <col min="4380" max="4380" width="14.33203125" style="411" customWidth="1"/>
    <col min="4381" max="4616" width="8.88671875" style="411"/>
    <col min="4617" max="4617" width="5.44140625" style="411" customWidth="1"/>
    <col min="4618" max="4618" width="27.33203125" style="411" customWidth="1"/>
    <col min="4619" max="4619" width="12.88671875" style="411" customWidth="1"/>
    <col min="4620" max="4620" width="6.6640625" style="411" customWidth="1"/>
    <col min="4621" max="4621" width="7.5546875" style="411" customWidth="1"/>
    <col min="4622" max="4622" width="7.88671875" style="411" customWidth="1"/>
    <col min="4623" max="4623" width="10.33203125" style="411" customWidth="1"/>
    <col min="4624" max="4624" width="29.6640625" style="411" customWidth="1"/>
    <col min="4625" max="4625" width="7" style="411" customWidth="1"/>
    <col min="4626" max="4626" width="0" style="411" hidden="1" customWidth="1"/>
    <col min="4627" max="4627" width="12.109375" style="411" customWidth="1"/>
    <col min="4628" max="4628" width="12.44140625" style="411" bestFit="1" customWidth="1"/>
    <col min="4629" max="4629" width="11.33203125" style="411" bestFit="1" customWidth="1"/>
    <col min="4630" max="4632" width="0" style="411" hidden="1" customWidth="1"/>
    <col min="4633" max="4633" width="12.109375" style="411" customWidth="1"/>
    <col min="4634" max="4634" width="12.44140625" style="411" bestFit="1" customWidth="1"/>
    <col min="4635" max="4635" width="9.33203125" style="411" customWidth="1"/>
    <col min="4636" max="4636" width="14.33203125" style="411" customWidth="1"/>
    <col min="4637" max="4872" width="8.88671875" style="411"/>
    <col min="4873" max="4873" width="5.44140625" style="411" customWidth="1"/>
    <col min="4874" max="4874" width="27.33203125" style="411" customWidth="1"/>
    <col min="4875" max="4875" width="12.88671875" style="411" customWidth="1"/>
    <col min="4876" max="4876" width="6.6640625" style="411" customWidth="1"/>
    <col min="4877" max="4877" width="7.5546875" style="411" customWidth="1"/>
    <col min="4878" max="4878" width="7.88671875" style="411" customWidth="1"/>
    <col min="4879" max="4879" width="10.33203125" style="411" customWidth="1"/>
    <col min="4880" max="4880" width="29.6640625" style="411" customWidth="1"/>
    <col min="4881" max="4881" width="7" style="411" customWidth="1"/>
    <col min="4882" max="4882" width="0" style="411" hidden="1" customWidth="1"/>
    <col min="4883" max="4883" width="12.109375" style="411" customWidth="1"/>
    <col min="4884" max="4884" width="12.44140625" style="411" bestFit="1" customWidth="1"/>
    <col min="4885" max="4885" width="11.33203125" style="411" bestFit="1" customWidth="1"/>
    <col min="4886" max="4888" width="0" style="411" hidden="1" customWidth="1"/>
    <col min="4889" max="4889" width="12.109375" style="411" customWidth="1"/>
    <col min="4890" max="4890" width="12.44140625" style="411" bestFit="1" customWidth="1"/>
    <col min="4891" max="4891" width="9.33203125" style="411" customWidth="1"/>
    <col min="4892" max="4892" width="14.33203125" style="411" customWidth="1"/>
    <col min="4893" max="5128" width="8.88671875" style="411"/>
    <col min="5129" max="5129" width="5.44140625" style="411" customWidth="1"/>
    <col min="5130" max="5130" width="27.33203125" style="411" customWidth="1"/>
    <col min="5131" max="5131" width="12.88671875" style="411" customWidth="1"/>
    <col min="5132" max="5132" width="6.6640625" style="411" customWidth="1"/>
    <col min="5133" max="5133" width="7.5546875" style="411" customWidth="1"/>
    <col min="5134" max="5134" width="7.88671875" style="411" customWidth="1"/>
    <col min="5135" max="5135" width="10.33203125" style="411" customWidth="1"/>
    <col min="5136" max="5136" width="29.6640625" style="411" customWidth="1"/>
    <col min="5137" max="5137" width="7" style="411" customWidth="1"/>
    <col min="5138" max="5138" width="0" style="411" hidden="1" customWidth="1"/>
    <col min="5139" max="5139" width="12.109375" style="411" customWidth="1"/>
    <col min="5140" max="5140" width="12.44140625" style="411" bestFit="1" customWidth="1"/>
    <col min="5141" max="5141" width="11.33203125" style="411" bestFit="1" customWidth="1"/>
    <col min="5142" max="5144" width="0" style="411" hidden="1" customWidth="1"/>
    <col min="5145" max="5145" width="12.109375" style="411" customWidth="1"/>
    <col min="5146" max="5146" width="12.44140625" style="411" bestFit="1" customWidth="1"/>
    <col min="5147" max="5147" width="9.33203125" style="411" customWidth="1"/>
    <col min="5148" max="5148" width="14.33203125" style="411" customWidth="1"/>
    <col min="5149" max="5384" width="8.88671875" style="411"/>
    <col min="5385" max="5385" width="5.44140625" style="411" customWidth="1"/>
    <col min="5386" max="5386" width="27.33203125" style="411" customWidth="1"/>
    <col min="5387" max="5387" width="12.88671875" style="411" customWidth="1"/>
    <col min="5388" max="5388" width="6.6640625" style="411" customWidth="1"/>
    <col min="5389" max="5389" width="7.5546875" style="411" customWidth="1"/>
    <col min="5390" max="5390" width="7.88671875" style="411" customWidth="1"/>
    <col min="5391" max="5391" width="10.33203125" style="411" customWidth="1"/>
    <col min="5392" max="5392" width="29.6640625" style="411" customWidth="1"/>
    <col min="5393" max="5393" width="7" style="411" customWidth="1"/>
    <col min="5394" max="5394" width="0" style="411" hidden="1" customWidth="1"/>
    <col min="5395" max="5395" width="12.109375" style="411" customWidth="1"/>
    <col min="5396" max="5396" width="12.44140625" style="411" bestFit="1" customWidth="1"/>
    <col min="5397" max="5397" width="11.33203125" style="411" bestFit="1" customWidth="1"/>
    <col min="5398" max="5400" width="0" style="411" hidden="1" customWidth="1"/>
    <col min="5401" max="5401" width="12.109375" style="411" customWidth="1"/>
    <col min="5402" max="5402" width="12.44140625" style="411" bestFit="1" customWidth="1"/>
    <col min="5403" max="5403" width="9.33203125" style="411" customWidth="1"/>
    <col min="5404" max="5404" width="14.33203125" style="411" customWidth="1"/>
    <col min="5405" max="5640" width="8.88671875" style="411"/>
    <col min="5641" max="5641" width="5.44140625" style="411" customWidth="1"/>
    <col min="5642" max="5642" width="27.33203125" style="411" customWidth="1"/>
    <col min="5643" max="5643" width="12.88671875" style="411" customWidth="1"/>
    <col min="5644" max="5644" width="6.6640625" style="411" customWidth="1"/>
    <col min="5645" max="5645" width="7.5546875" style="411" customWidth="1"/>
    <col min="5646" max="5646" width="7.88671875" style="411" customWidth="1"/>
    <col min="5647" max="5647" width="10.33203125" style="411" customWidth="1"/>
    <col min="5648" max="5648" width="29.6640625" style="411" customWidth="1"/>
    <col min="5649" max="5649" width="7" style="411" customWidth="1"/>
    <col min="5650" max="5650" width="0" style="411" hidden="1" customWidth="1"/>
    <col min="5651" max="5651" width="12.109375" style="411" customWidth="1"/>
    <col min="5652" max="5652" width="12.44140625" style="411" bestFit="1" customWidth="1"/>
    <col min="5653" max="5653" width="11.33203125" style="411" bestFit="1" customWidth="1"/>
    <col min="5654" max="5656" width="0" style="411" hidden="1" customWidth="1"/>
    <col min="5657" max="5657" width="12.109375" style="411" customWidth="1"/>
    <col min="5658" max="5658" width="12.44140625" style="411" bestFit="1" customWidth="1"/>
    <col min="5659" max="5659" width="9.33203125" style="411" customWidth="1"/>
    <col min="5660" max="5660" width="14.33203125" style="411" customWidth="1"/>
    <col min="5661" max="5896" width="8.88671875" style="411"/>
    <col min="5897" max="5897" width="5.44140625" style="411" customWidth="1"/>
    <col min="5898" max="5898" width="27.33203125" style="411" customWidth="1"/>
    <col min="5899" max="5899" width="12.88671875" style="411" customWidth="1"/>
    <col min="5900" max="5900" width="6.6640625" style="411" customWidth="1"/>
    <col min="5901" max="5901" width="7.5546875" style="411" customWidth="1"/>
    <col min="5902" max="5902" width="7.88671875" style="411" customWidth="1"/>
    <col min="5903" max="5903" width="10.33203125" style="411" customWidth="1"/>
    <col min="5904" max="5904" width="29.6640625" style="411" customWidth="1"/>
    <col min="5905" max="5905" width="7" style="411" customWidth="1"/>
    <col min="5906" max="5906" width="0" style="411" hidden="1" customWidth="1"/>
    <col min="5907" max="5907" width="12.109375" style="411" customWidth="1"/>
    <col min="5908" max="5908" width="12.44140625" style="411" bestFit="1" customWidth="1"/>
    <col min="5909" max="5909" width="11.33203125" style="411" bestFit="1" customWidth="1"/>
    <col min="5910" max="5912" width="0" style="411" hidden="1" customWidth="1"/>
    <col min="5913" max="5913" width="12.109375" style="411" customWidth="1"/>
    <col min="5914" max="5914" width="12.44140625" style="411" bestFit="1" customWidth="1"/>
    <col min="5915" max="5915" width="9.33203125" style="411" customWidth="1"/>
    <col min="5916" max="5916" width="14.33203125" style="411" customWidth="1"/>
    <col min="5917" max="6152" width="8.88671875" style="411"/>
    <col min="6153" max="6153" width="5.44140625" style="411" customWidth="1"/>
    <col min="6154" max="6154" width="27.33203125" style="411" customWidth="1"/>
    <col min="6155" max="6155" width="12.88671875" style="411" customWidth="1"/>
    <col min="6156" max="6156" width="6.6640625" style="411" customWidth="1"/>
    <col min="6157" max="6157" width="7.5546875" style="411" customWidth="1"/>
    <col min="6158" max="6158" width="7.88671875" style="411" customWidth="1"/>
    <col min="6159" max="6159" width="10.33203125" style="411" customWidth="1"/>
    <col min="6160" max="6160" width="29.6640625" style="411" customWidth="1"/>
    <col min="6161" max="6161" width="7" style="411" customWidth="1"/>
    <col min="6162" max="6162" width="0" style="411" hidden="1" customWidth="1"/>
    <col min="6163" max="6163" width="12.109375" style="411" customWidth="1"/>
    <col min="6164" max="6164" width="12.44140625" style="411" bestFit="1" customWidth="1"/>
    <col min="6165" max="6165" width="11.33203125" style="411" bestFit="1" customWidth="1"/>
    <col min="6166" max="6168" width="0" style="411" hidden="1" customWidth="1"/>
    <col min="6169" max="6169" width="12.109375" style="411" customWidth="1"/>
    <col min="6170" max="6170" width="12.44140625" style="411" bestFit="1" customWidth="1"/>
    <col min="6171" max="6171" width="9.33203125" style="411" customWidth="1"/>
    <col min="6172" max="6172" width="14.33203125" style="411" customWidth="1"/>
    <col min="6173" max="6408" width="8.88671875" style="411"/>
    <col min="6409" max="6409" width="5.44140625" style="411" customWidth="1"/>
    <col min="6410" max="6410" width="27.33203125" style="411" customWidth="1"/>
    <col min="6411" max="6411" width="12.88671875" style="411" customWidth="1"/>
    <col min="6412" max="6412" width="6.6640625" style="411" customWidth="1"/>
    <col min="6413" max="6413" width="7.5546875" style="411" customWidth="1"/>
    <col min="6414" max="6414" width="7.88671875" style="411" customWidth="1"/>
    <col min="6415" max="6415" width="10.33203125" style="411" customWidth="1"/>
    <col min="6416" max="6416" width="29.6640625" style="411" customWidth="1"/>
    <col min="6417" max="6417" width="7" style="411" customWidth="1"/>
    <col min="6418" max="6418" width="0" style="411" hidden="1" customWidth="1"/>
    <col min="6419" max="6419" width="12.109375" style="411" customWidth="1"/>
    <col min="6420" max="6420" width="12.44140625" style="411" bestFit="1" customWidth="1"/>
    <col min="6421" max="6421" width="11.33203125" style="411" bestFit="1" customWidth="1"/>
    <col min="6422" max="6424" width="0" style="411" hidden="1" customWidth="1"/>
    <col min="6425" max="6425" width="12.109375" style="411" customWidth="1"/>
    <col min="6426" max="6426" width="12.44140625" style="411" bestFit="1" customWidth="1"/>
    <col min="6427" max="6427" width="9.33203125" style="411" customWidth="1"/>
    <col min="6428" max="6428" width="14.33203125" style="411" customWidth="1"/>
    <col min="6429" max="6664" width="8.88671875" style="411"/>
    <col min="6665" max="6665" width="5.44140625" style="411" customWidth="1"/>
    <col min="6666" max="6666" width="27.33203125" style="411" customWidth="1"/>
    <col min="6667" max="6667" width="12.88671875" style="411" customWidth="1"/>
    <col min="6668" max="6668" width="6.6640625" style="411" customWidth="1"/>
    <col min="6669" max="6669" width="7.5546875" style="411" customWidth="1"/>
    <col min="6670" max="6670" width="7.88671875" style="411" customWidth="1"/>
    <col min="6671" max="6671" width="10.33203125" style="411" customWidth="1"/>
    <col min="6672" max="6672" width="29.6640625" style="411" customWidth="1"/>
    <col min="6673" max="6673" width="7" style="411" customWidth="1"/>
    <col min="6674" max="6674" width="0" style="411" hidden="1" customWidth="1"/>
    <col min="6675" max="6675" width="12.109375" style="411" customWidth="1"/>
    <col min="6676" max="6676" width="12.44140625" style="411" bestFit="1" customWidth="1"/>
    <col min="6677" max="6677" width="11.33203125" style="411" bestFit="1" customWidth="1"/>
    <col min="6678" max="6680" width="0" style="411" hidden="1" customWidth="1"/>
    <col min="6681" max="6681" width="12.109375" style="411" customWidth="1"/>
    <col min="6682" max="6682" width="12.44140625" style="411" bestFit="1" customWidth="1"/>
    <col min="6683" max="6683" width="9.33203125" style="411" customWidth="1"/>
    <col min="6684" max="6684" width="14.33203125" style="411" customWidth="1"/>
    <col min="6685" max="6920" width="8.88671875" style="411"/>
    <col min="6921" max="6921" width="5.44140625" style="411" customWidth="1"/>
    <col min="6922" max="6922" width="27.33203125" style="411" customWidth="1"/>
    <col min="6923" max="6923" width="12.88671875" style="411" customWidth="1"/>
    <col min="6924" max="6924" width="6.6640625" style="411" customWidth="1"/>
    <col min="6925" max="6925" width="7.5546875" style="411" customWidth="1"/>
    <col min="6926" max="6926" width="7.88671875" style="411" customWidth="1"/>
    <col min="6927" max="6927" width="10.33203125" style="411" customWidth="1"/>
    <col min="6928" max="6928" width="29.6640625" style="411" customWidth="1"/>
    <col min="6929" max="6929" width="7" style="411" customWidth="1"/>
    <col min="6930" max="6930" width="0" style="411" hidden="1" customWidth="1"/>
    <col min="6931" max="6931" width="12.109375" style="411" customWidth="1"/>
    <col min="6932" max="6932" width="12.44140625" style="411" bestFit="1" customWidth="1"/>
    <col min="6933" max="6933" width="11.33203125" style="411" bestFit="1" customWidth="1"/>
    <col min="6934" max="6936" width="0" style="411" hidden="1" customWidth="1"/>
    <col min="6937" max="6937" width="12.109375" style="411" customWidth="1"/>
    <col min="6938" max="6938" width="12.44140625" style="411" bestFit="1" customWidth="1"/>
    <col min="6939" max="6939" width="9.33203125" style="411" customWidth="1"/>
    <col min="6940" max="6940" width="14.33203125" style="411" customWidth="1"/>
    <col min="6941" max="7176" width="8.88671875" style="411"/>
    <col min="7177" max="7177" width="5.44140625" style="411" customWidth="1"/>
    <col min="7178" max="7178" width="27.33203125" style="411" customWidth="1"/>
    <col min="7179" max="7179" width="12.88671875" style="411" customWidth="1"/>
    <col min="7180" max="7180" width="6.6640625" style="411" customWidth="1"/>
    <col min="7181" max="7181" width="7.5546875" style="411" customWidth="1"/>
    <col min="7182" max="7182" width="7.88671875" style="411" customWidth="1"/>
    <col min="7183" max="7183" width="10.33203125" style="411" customWidth="1"/>
    <col min="7184" max="7184" width="29.6640625" style="411" customWidth="1"/>
    <col min="7185" max="7185" width="7" style="411" customWidth="1"/>
    <col min="7186" max="7186" width="0" style="411" hidden="1" customWidth="1"/>
    <col min="7187" max="7187" width="12.109375" style="411" customWidth="1"/>
    <col min="7188" max="7188" width="12.44140625" style="411" bestFit="1" customWidth="1"/>
    <col min="7189" max="7189" width="11.33203125" style="411" bestFit="1" customWidth="1"/>
    <col min="7190" max="7192" width="0" style="411" hidden="1" customWidth="1"/>
    <col min="7193" max="7193" width="12.109375" style="411" customWidth="1"/>
    <col min="7194" max="7194" width="12.44140625" style="411" bestFit="1" customWidth="1"/>
    <col min="7195" max="7195" width="9.33203125" style="411" customWidth="1"/>
    <col min="7196" max="7196" width="14.33203125" style="411" customWidth="1"/>
    <col min="7197" max="7432" width="8.88671875" style="411"/>
    <col min="7433" max="7433" width="5.44140625" style="411" customWidth="1"/>
    <col min="7434" max="7434" width="27.33203125" style="411" customWidth="1"/>
    <col min="7435" max="7435" width="12.88671875" style="411" customWidth="1"/>
    <col min="7436" max="7436" width="6.6640625" style="411" customWidth="1"/>
    <col min="7437" max="7437" width="7.5546875" style="411" customWidth="1"/>
    <col min="7438" max="7438" width="7.88671875" style="411" customWidth="1"/>
    <col min="7439" max="7439" width="10.33203125" style="411" customWidth="1"/>
    <col min="7440" max="7440" width="29.6640625" style="411" customWidth="1"/>
    <col min="7441" max="7441" width="7" style="411" customWidth="1"/>
    <col min="7442" max="7442" width="0" style="411" hidden="1" customWidth="1"/>
    <col min="7443" max="7443" width="12.109375" style="411" customWidth="1"/>
    <col min="7444" max="7444" width="12.44140625" style="411" bestFit="1" customWidth="1"/>
    <col min="7445" max="7445" width="11.33203125" style="411" bestFit="1" customWidth="1"/>
    <col min="7446" max="7448" width="0" style="411" hidden="1" customWidth="1"/>
    <col min="7449" max="7449" width="12.109375" style="411" customWidth="1"/>
    <col min="7450" max="7450" width="12.44140625" style="411" bestFit="1" customWidth="1"/>
    <col min="7451" max="7451" width="9.33203125" style="411" customWidth="1"/>
    <col min="7452" max="7452" width="14.33203125" style="411" customWidth="1"/>
    <col min="7453" max="7688" width="8.88671875" style="411"/>
    <col min="7689" max="7689" width="5.44140625" style="411" customWidth="1"/>
    <col min="7690" max="7690" width="27.33203125" style="411" customWidth="1"/>
    <col min="7691" max="7691" width="12.88671875" style="411" customWidth="1"/>
    <col min="7692" max="7692" width="6.6640625" style="411" customWidth="1"/>
    <col min="7693" max="7693" width="7.5546875" style="411" customWidth="1"/>
    <col min="7694" max="7694" width="7.88671875" style="411" customWidth="1"/>
    <col min="7695" max="7695" width="10.33203125" style="411" customWidth="1"/>
    <col min="7696" max="7696" width="29.6640625" style="411" customWidth="1"/>
    <col min="7697" max="7697" width="7" style="411" customWidth="1"/>
    <col min="7698" max="7698" width="0" style="411" hidden="1" customWidth="1"/>
    <col min="7699" max="7699" width="12.109375" style="411" customWidth="1"/>
    <col min="7700" max="7700" width="12.44140625" style="411" bestFit="1" customWidth="1"/>
    <col min="7701" max="7701" width="11.33203125" style="411" bestFit="1" customWidth="1"/>
    <col min="7702" max="7704" width="0" style="411" hidden="1" customWidth="1"/>
    <col min="7705" max="7705" width="12.109375" style="411" customWidth="1"/>
    <col min="7706" max="7706" width="12.44140625" style="411" bestFit="1" customWidth="1"/>
    <col min="7707" max="7707" width="9.33203125" style="411" customWidth="1"/>
    <col min="7708" max="7708" width="14.33203125" style="411" customWidth="1"/>
    <col min="7709" max="7944" width="8.88671875" style="411"/>
    <col min="7945" max="7945" width="5.44140625" style="411" customWidth="1"/>
    <col min="7946" max="7946" width="27.33203125" style="411" customWidth="1"/>
    <col min="7947" max="7947" width="12.88671875" style="411" customWidth="1"/>
    <col min="7948" max="7948" width="6.6640625" style="411" customWidth="1"/>
    <col min="7949" max="7949" width="7.5546875" style="411" customWidth="1"/>
    <col min="7950" max="7950" width="7.88671875" style="411" customWidth="1"/>
    <col min="7951" max="7951" width="10.33203125" style="411" customWidth="1"/>
    <col min="7952" max="7952" width="29.6640625" style="411" customWidth="1"/>
    <col min="7953" max="7953" width="7" style="411" customWidth="1"/>
    <col min="7954" max="7954" width="0" style="411" hidden="1" customWidth="1"/>
    <col min="7955" max="7955" width="12.109375" style="411" customWidth="1"/>
    <col min="7956" max="7956" width="12.44140625" style="411" bestFit="1" customWidth="1"/>
    <col min="7957" max="7957" width="11.33203125" style="411" bestFit="1" customWidth="1"/>
    <col min="7958" max="7960" width="0" style="411" hidden="1" customWidth="1"/>
    <col min="7961" max="7961" width="12.109375" style="411" customWidth="1"/>
    <col min="7962" max="7962" width="12.44140625" style="411" bestFit="1" customWidth="1"/>
    <col min="7963" max="7963" width="9.33203125" style="411" customWidth="1"/>
    <col min="7964" max="7964" width="14.33203125" style="411" customWidth="1"/>
    <col min="7965" max="8200" width="8.88671875" style="411"/>
    <col min="8201" max="8201" width="5.44140625" style="411" customWidth="1"/>
    <col min="8202" max="8202" width="27.33203125" style="411" customWidth="1"/>
    <col min="8203" max="8203" width="12.88671875" style="411" customWidth="1"/>
    <col min="8204" max="8204" width="6.6640625" style="411" customWidth="1"/>
    <col min="8205" max="8205" width="7.5546875" style="411" customWidth="1"/>
    <col min="8206" max="8206" width="7.88671875" style="411" customWidth="1"/>
    <col min="8207" max="8207" width="10.33203125" style="411" customWidth="1"/>
    <col min="8208" max="8208" width="29.6640625" style="411" customWidth="1"/>
    <col min="8209" max="8209" width="7" style="411" customWidth="1"/>
    <col min="8210" max="8210" width="0" style="411" hidden="1" customWidth="1"/>
    <col min="8211" max="8211" width="12.109375" style="411" customWidth="1"/>
    <col min="8212" max="8212" width="12.44140625" style="411" bestFit="1" customWidth="1"/>
    <col min="8213" max="8213" width="11.33203125" style="411" bestFit="1" customWidth="1"/>
    <col min="8214" max="8216" width="0" style="411" hidden="1" customWidth="1"/>
    <col min="8217" max="8217" width="12.109375" style="411" customWidth="1"/>
    <col min="8218" max="8218" width="12.44140625" style="411" bestFit="1" customWidth="1"/>
    <col min="8219" max="8219" width="9.33203125" style="411" customWidth="1"/>
    <col min="8220" max="8220" width="14.33203125" style="411" customWidth="1"/>
    <col min="8221" max="8456" width="8.88671875" style="411"/>
    <col min="8457" max="8457" width="5.44140625" style="411" customWidth="1"/>
    <col min="8458" max="8458" width="27.33203125" style="411" customWidth="1"/>
    <col min="8459" max="8459" width="12.88671875" style="411" customWidth="1"/>
    <col min="8460" max="8460" width="6.6640625" style="411" customWidth="1"/>
    <col min="8461" max="8461" width="7.5546875" style="411" customWidth="1"/>
    <col min="8462" max="8462" width="7.88671875" style="411" customWidth="1"/>
    <col min="8463" max="8463" width="10.33203125" style="411" customWidth="1"/>
    <col min="8464" max="8464" width="29.6640625" style="411" customWidth="1"/>
    <col min="8465" max="8465" width="7" style="411" customWidth="1"/>
    <col min="8466" max="8466" width="0" style="411" hidden="1" customWidth="1"/>
    <col min="8467" max="8467" width="12.109375" style="411" customWidth="1"/>
    <col min="8468" max="8468" width="12.44140625" style="411" bestFit="1" customWidth="1"/>
    <col min="8469" max="8469" width="11.33203125" style="411" bestFit="1" customWidth="1"/>
    <col min="8470" max="8472" width="0" style="411" hidden="1" customWidth="1"/>
    <col min="8473" max="8473" width="12.109375" style="411" customWidth="1"/>
    <col min="8474" max="8474" width="12.44140625" style="411" bestFit="1" customWidth="1"/>
    <col min="8475" max="8475" width="9.33203125" style="411" customWidth="1"/>
    <col min="8476" max="8476" width="14.33203125" style="411" customWidth="1"/>
    <col min="8477" max="8712" width="8.88671875" style="411"/>
    <col min="8713" max="8713" width="5.44140625" style="411" customWidth="1"/>
    <col min="8714" max="8714" width="27.33203125" style="411" customWidth="1"/>
    <col min="8715" max="8715" width="12.88671875" style="411" customWidth="1"/>
    <col min="8716" max="8716" width="6.6640625" style="411" customWidth="1"/>
    <col min="8717" max="8717" width="7.5546875" style="411" customWidth="1"/>
    <col min="8718" max="8718" width="7.88671875" style="411" customWidth="1"/>
    <col min="8719" max="8719" width="10.33203125" style="411" customWidth="1"/>
    <col min="8720" max="8720" width="29.6640625" style="411" customWidth="1"/>
    <col min="8721" max="8721" width="7" style="411" customWidth="1"/>
    <col min="8722" max="8722" width="0" style="411" hidden="1" customWidth="1"/>
    <col min="8723" max="8723" width="12.109375" style="411" customWidth="1"/>
    <col min="8724" max="8724" width="12.44140625" style="411" bestFit="1" customWidth="1"/>
    <col min="8725" max="8725" width="11.33203125" style="411" bestFit="1" customWidth="1"/>
    <col min="8726" max="8728" width="0" style="411" hidden="1" customWidth="1"/>
    <col min="8729" max="8729" width="12.109375" style="411" customWidth="1"/>
    <col min="8730" max="8730" width="12.44140625" style="411" bestFit="1" customWidth="1"/>
    <col min="8731" max="8731" width="9.33203125" style="411" customWidth="1"/>
    <col min="8732" max="8732" width="14.33203125" style="411" customWidth="1"/>
    <col min="8733" max="8968" width="8.88671875" style="411"/>
    <col min="8969" max="8969" width="5.44140625" style="411" customWidth="1"/>
    <col min="8970" max="8970" width="27.33203125" style="411" customWidth="1"/>
    <col min="8971" max="8971" width="12.88671875" style="411" customWidth="1"/>
    <col min="8972" max="8972" width="6.6640625" style="411" customWidth="1"/>
    <col min="8973" max="8973" width="7.5546875" style="411" customWidth="1"/>
    <col min="8974" max="8974" width="7.88671875" style="411" customWidth="1"/>
    <col min="8975" max="8975" width="10.33203125" style="411" customWidth="1"/>
    <col min="8976" max="8976" width="29.6640625" style="411" customWidth="1"/>
    <col min="8977" max="8977" width="7" style="411" customWidth="1"/>
    <col min="8978" max="8978" width="0" style="411" hidden="1" customWidth="1"/>
    <col min="8979" max="8979" width="12.109375" style="411" customWidth="1"/>
    <col min="8980" max="8980" width="12.44140625" style="411" bestFit="1" customWidth="1"/>
    <col min="8981" max="8981" width="11.33203125" style="411" bestFit="1" customWidth="1"/>
    <col min="8982" max="8984" width="0" style="411" hidden="1" customWidth="1"/>
    <col min="8985" max="8985" width="12.109375" style="411" customWidth="1"/>
    <col min="8986" max="8986" width="12.44140625" style="411" bestFit="1" customWidth="1"/>
    <col min="8987" max="8987" width="9.33203125" style="411" customWidth="1"/>
    <col min="8988" max="8988" width="14.33203125" style="411" customWidth="1"/>
    <col min="8989" max="9224" width="8.88671875" style="411"/>
    <col min="9225" max="9225" width="5.44140625" style="411" customWidth="1"/>
    <col min="9226" max="9226" width="27.33203125" style="411" customWidth="1"/>
    <col min="9227" max="9227" width="12.88671875" style="411" customWidth="1"/>
    <col min="9228" max="9228" width="6.6640625" style="411" customWidth="1"/>
    <col min="9229" max="9229" width="7.5546875" style="411" customWidth="1"/>
    <col min="9230" max="9230" width="7.88671875" style="411" customWidth="1"/>
    <col min="9231" max="9231" width="10.33203125" style="411" customWidth="1"/>
    <col min="9232" max="9232" width="29.6640625" style="411" customWidth="1"/>
    <col min="9233" max="9233" width="7" style="411" customWidth="1"/>
    <col min="9234" max="9234" width="0" style="411" hidden="1" customWidth="1"/>
    <col min="9235" max="9235" width="12.109375" style="411" customWidth="1"/>
    <col min="9236" max="9236" width="12.44140625" style="411" bestFit="1" customWidth="1"/>
    <col min="9237" max="9237" width="11.33203125" style="411" bestFit="1" customWidth="1"/>
    <col min="9238" max="9240" width="0" style="411" hidden="1" customWidth="1"/>
    <col min="9241" max="9241" width="12.109375" style="411" customWidth="1"/>
    <col min="9242" max="9242" width="12.44140625" style="411" bestFit="1" customWidth="1"/>
    <col min="9243" max="9243" width="9.33203125" style="411" customWidth="1"/>
    <col min="9244" max="9244" width="14.33203125" style="411" customWidth="1"/>
    <col min="9245" max="9480" width="8.88671875" style="411"/>
    <col min="9481" max="9481" width="5.44140625" style="411" customWidth="1"/>
    <col min="9482" max="9482" width="27.33203125" style="411" customWidth="1"/>
    <col min="9483" max="9483" width="12.88671875" style="411" customWidth="1"/>
    <col min="9484" max="9484" width="6.6640625" style="411" customWidth="1"/>
    <col min="9485" max="9485" width="7.5546875" style="411" customWidth="1"/>
    <col min="9486" max="9486" width="7.88671875" style="411" customWidth="1"/>
    <col min="9487" max="9487" width="10.33203125" style="411" customWidth="1"/>
    <col min="9488" max="9488" width="29.6640625" style="411" customWidth="1"/>
    <col min="9489" max="9489" width="7" style="411" customWidth="1"/>
    <col min="9490" max="9490" width="0" style="411" hidden="1" customWidth="1"/>
    <col min="9491" max="9491" width="12.109375" style="411" customWidth="1"/>
    <col min="9492" max="9492" width="12.44140625" style="411" bestFit="1" customWidth="1"/>
    <col min="9493" max="9493" width="11.33203125" style="411" bestFit="1" customWidth="1"/>
    <col min="9494" max="9496" width="0" style="411" hidden="1" customWidth="1"/>
    <col min="9497" max="9497" width="12.109375" style="411" customWidth="1"/>
    <col min="9498" max="9498" width="12.44140625" style="411" bestFit="1" customWidth="1"/>
    <col min="9499" max="9499" width="9.33203125" style="411" customWidth="1"/>
    <col min="9500" max="9500" width="14.33203125" style="411" customWidth="1"/>
    <col min="9501" max="9736" width="8.88671875" style="411"/>
    <col min="9737" max="9737" width="5.44140625" style="411" customWidth="1"/>
    <col min="9738" max="9738" width="27.33203125" style="411" customWidth="1"/>
    <col min="9739" max="9739" width="12.88671875" style="411" customWidth="1"/>
    <col min="9740" max="9740" width="6.6640625" style="411" customWidth="1"/>
    <col min="9741" max="9741" width="7.5546875" style="411" customWidth="1"/>
    <col min="9742" max="9742" width="7.88671875" style="411" customWidth="1"/>
    <col min="9743" max="9743" width="10.33203125" style="411" customWidth="1"/>
    <col min="9744" max="9744" width="29.6640625" style="411" customWidth="1"/>
    <col min="9745" max="9745" width="7" style="411" customWidth="1"/>
    <col min="9746" max="9746" width="0" style="411" hidden="1" customWidth="1"/>
    <col min="9747" max="9747" width="12.109375" style="411" customWidth="1"/>
    <col min="9748" max="9748" width="12.44140625" style="411" bestFit="1" customWidth="1"/>
    <col min="9749" max="9749" width="11.33203125" style="411" bestFit="1" customWidth="1"/>
    <col min="9750" max="9752" width="0" style="411" hidden="1" customWidth="1"/>
    <col min="9753" max="9753" width="12.109375" style="411" customWidth="1"/>
    <col min="9754" max="9754" width="12.44140625" style="411" bestFit="1" customWidth="1"/>
    <col min="9755" max="9755" width="9.33203125" style="411" customWidth="1"/>
    <col min="9756" max="9756" width="14.33203125" style="411" customWidth="1"/>
    <col min="9757" max="9992" width="8.88671875" style="411"/>
    <col min="9993" max="9993" width="5.44140625" style="411" customWidth="1"/>
    <col min="9994" max="9994" width="27.33203125" style="411" customWidth="1"/>
    <col min="9995" max="9995" width="12.88671875" style="411" customWidth="1"/>
    <col min="9996" max="9996" width="6.6640625" style="411" customWidth="1"/>
    <col min="9997" max="9997" width="7.5546875" style="411" customWidth="1"/>
    <col min="9998" max="9998" width="7.88671875" style="411" customWidth="1"/>
    <col min="9999" max="9999" width="10.33203125" style="411" customWidth="1"/>
    <col min="10000" max="10000" width="29.6640625" style="411" customWidth="1"/>
    <col min="10001" max="10001" width="7" style="411" customWidth="1"/>
    <col min="10002" max="10002" width="0" style="411" hidden="1" customWidth="1"/>
    <col min="10003" max="10003" width="12.109375" style="411" customWidth="1"/>
    <col min="10004" max="10004" width="12.44140625" style="411" bestFit="1" customWidth="1"/>
    <col min="10005" max="10005" width="11.33203125" style="411" bestFit="1" customWidth="1"/>
    <col min="10006" max="10008" width="0" style="411" hidden="1" customWidth="1"/>
    <col min="10009" max="10009" width="12.109375" style="411" customWidth="1"/>
    <col min="10010" max="10010" width="12.44140625" style="411" bestFit="1" customWidth="1"/>
    <col min="10011" max="10011" width="9.33203125" style="411" customWidth="1"/>
    <col min="10012" max="10012" width="14.33203125" style="411" customWidth="1"/>
    <col min="10013" max="10248" width="8.88671875" style="411"/>
    <col min="10249" max="10249" width="5.44140625" style="411" customWidth="1"/>
    <col min="10250" max="10250" width="27.33203125" style="411" customWidth="1"/>
    <col min="10251" max="10251" width="12.88671875" style="411" customWidth="1"/>
    <col min="10252" max="10252" width="6.6640625" style="411" customWidth="1"/>
    <col min="10253" max="10253" width="7.5546875" style="411" customWidth="1"/>
    <col min="10254" max="10254" width="7.88671875" style="411" customWidth="1"/>
    <col min="10255" max="10255" width="10.33203125" style="411" customWidth="1"/>
    <col min="10256" max="10256" width="29.6640625" style="411" customWidth="1"/>
    <col min="10257" max="10257" width="7" style="411" customWidth="1"/>
    <col min="10258" max="10258" width="0" style="411" hidden="1" customWidth="1"/>
    <col min="10259" max="10259" width="12.109375" style="411" customWidth="1"/>
    <col min="10260" max="10260" width="12.44140625" style="411" bestFit="1" customWidth="1"/>
    <col min="10261" max="10261" width="11.33203125" style="411" bestFit="1" customWidth="1"/>
    <col min="10262" max="10264" width="0" style="411" hidden="1" customWidth="1"/>
    <col min="10265" max="10265" width="12.109375" style="411" customWidth="1"/>
    <col min="10266" max="10266" width="12.44140625" style="411" bestFit="1" customWidth="1"/>
    <col min="10267" max="10267" width="9.33203125" style="411" customWidth="1"/>
    <col min="10268" max="10268" width="14.33203125" style="411" customWidth="1"/>
    <col min="10269" max="10504" width="8.88671875" style="411"/>
    <col min="10505" max="10505" width="5.44140625" style="411" customWidth="1"/>
    <col min="10506" max="10506" width="27.33203125" style="411" customWidth="1"/>
    <col min="10507" max="10507" width="12.88671875" style="411" customWidth="1"/>
    <col min="10508" max="10508" width="6.6640625" style="411" customWidth="1"/>
    <col min="10509" max="10509" width="7.5546875" style="411" customWidth="1"/>
    <col min="10510" max="10510" width="7.88671875" style="411" customWidth="1"/>
    <col min="10511" max="10511" width="10.33203125" style="411" customWidth="1"/>
    <col min="10512" max="10512" width="29.6640625" style="411" customWidth="1"/>
    <col min="10513" max="10513" width="7" style="411" customWidth="1"/>
    <col min="10514" max="10514" width="0" style="411" hidden="1" customWidth="1"/>
    <col min="10515" max="10515" width="12.109375" style="411" customWidth="1"/>
    <col min="10516" max="10516" width="12.44140625" style="411" bestFit="1" customWidth="1"/>
    <col min="10517" max="10517" width="11.33203125" style="411" bestFit="1" customWidth="1"/>
    <col min="10518" max="10520" width="0" style="411" hidden="1" customWidth="1"/>
    <col min="10521" max="10521" width="12.109375" style="411" customWidth="1"/>
    <col min="10522" max="10522" width="12.44140625" style="411" bestFit="1" customWidth="1"/>
    <col min="10523" max="10523" width="9.33203125" style="411" customWidth="1"/>
    <col min="10524" max="10524" width="14.33203125" style="411" customWidth="1"/>
    <col min="10525" max="10760" width="8.88671875" style="411"/>
    <col min="10761" max="10761" width="5.44140625" style="411" customWidth="1"/>
    <col min="10762" max="10762" width="27.33203125" style="411" customWidth="1"/>
    <col min="10763" max="10763" width="12.88671875" style="411" customWidth="1"/>
    <col min="10764" max="10764" width="6.6640625" style="411" customWidth="1"/>
    <col min="10765" max="10765" width="7.5546875" style="411" customWidth="1"/>
    <col min="10766" max="10766" width="7.88671875" style="411" customWidth="1"/>
    <col min="10767" max="10767" width="10.33203125" style="411" customWidth="1"/>
    <col min="10768" max="10768" width="29.6640625" style="411" customWidth="1"/>
    <col min="10769" max="10769" width="7" style="411" customWidth="1"/>
    <col min="10770" max="10770" width="0" style="411" hidden="1" customWidth="1"/>
    <col min="10771" max="10771" width="12.109375" style="411" customWidth="1"/>
    <col min="10772" max="10772" width="12.44140625" style="411" bestFit="1" customWidth="1"/>
    <col min="10773" max="10773" width="11.33203125" style="411" bestFit="1" customWidth="1"/>
    <col min="10774" max="10776" width="0" style="411" hidden="1" customWidth="1"/>
    <col min="10777" max="10777" width="12.109375" style="411" customWidth="1"/>
    <col min="10778" max="10778" width="12.44140625" style="411" bestFit="1" customWidth="1"/>
    <col min="10779" max="10779" width="9.33203125" style="411" customWidth="1"/>
    <col min="10780" max="10780" width="14.33203125" style="411" customWidth="1"/>
    <col min="10781" max="11016" width="8.88671875" style="411"/>
    <col min="11017" max="11017" width="5.44140625" style="411" customWidth="1"/>
    <col min="11018" max="11018" width="27.33203125" style="411" customWidth="1"/>
    <col min="11019" max="11019" width="12.88671875" style="411" customWidth="1"/>
    <col min="11020" max="11020" width="6.6640625" style="411" customWidth="1"/>
    <col min="11021" max="11021" width="7.5546875" style="411" customWidth="1"/>
    <col min="11022" max="11022" width="7.88671875" style="411" customWidth="1"/>
    <col min="11023" max="11023" width="10.33203125" style="411" customWidth="1"/>
    <col min="11024" max="11024" width="29.6640625" style="411" customWidth="1"/>
    <col min="11025" max="11025" width="7" style="411" customWidth="1"/>
    <col min="11026" max="11026" width="0" style="411" hidden="1" customWidth="1"/>
    <col min="11027" max="11027" width="12.109375" style="411" customWidth="1"/>
    <col min="11028" max="11028" width="12.44140625" style="411" bestFit="1" customWidth="1"/>
    <col min="11029" max="11029" width="11.33203125" style="411" bestFit="1" customWidth="1"/>
    <col min="11030" max="11032" width="0" style="411" hidden="1" customWidth="1"/>
    <col min="11033" max="11033" width="12.109375" style="411" customWidth="1"/>
    <col min="11034" max="11034" width="12.44140625" style="411" bestFit="1" customWidth="1"/>
    <col min="11035" max="11035" width="9.33203125" style="411" customWidth="1"/>
    <col min="11036" max="11036" width="14.33203125" style="411" customWidth="1"/>
    <col min="11037" max="11272" width="8.88671875" style="411"/>
    <col min="11273" max="11273" width="5.44140625" style="411" customWidth="1"/>
    <col min="11274" max="11274" width="27.33203125" style="411" customWidth="1"/>
    <col min="11275" max="11275" width="12.88671875" style="411" customWidth="1"/>
    <col min="11276" max="11276" width="6.6640625" style="411" customWidth="1"/>
    <col min="11277" max="11277" width="7.5546875" style="411" customWidth="1"/>
    <col min="11278" max="11278" width="7.88671875" style="411" customWidth="1"/>
    <col min="11279" max="11279" width="10.33203125" style="411" customWidth="1"/>
    <col min="11280" max="11280" width="29.6640625" style="411" customWidth="1"/>
    <col min="11281" max="11281" width="7" style="411" customWidth="1"/>
    <col min="11282" max="11282" width="0" style="411" hidden="1" customWidth="1"/>
    <col min="11283" max="11283" width="12.109375" style="411" customWidth="1"/>
    <col min="11284" max="11284" width="12.44140625" style="411" bestFit="1" customWidth="1"/>
    <col min="11285" max="11285" width="11.33203125" style="411" bestFit="1" customWidth="1"/>
    <col min="11286" max="11288" width="0" style="411" hidden="1" customWidth="1"/>
    <col min="11289" max="11289" width="12.109375" style="411" customWidth="1"/>
    <col min="11290" max="11290" width="12.44140625" style="411" bestFit="1" customWidth="1"/>
    <col min="11291" max="11291" width="9.33203125" style="411" customWidth="1"/>
    <col min="11292" max="11292" width="14.33203125" style="411" customWidth="1"/>
    <col min="11293" max="11528" width="8.88671875" style="411"/>
    <col min="11529" max="11529" width="5.44140625" style="411" customWidth="1"/>
    <col min="11530" max="11530" width="27.33203125" style="411" customWidth="1"/>
    <col min="11531" max="11531" width="12.88671875" style="411" customWidth="1"/>
    <col min="11532" max="11532" width="6.6640625" style="411" customWidth="1"/>
    <col min="11533" max="11533" width="7.5546875" style="411" customWidth="1"/>
    <col min="11534" max="11534" width="7.88671875" style="411" customWidth="1"/>
    <col min="11535" max="11535" width="10.33203125" style="411" customWidth="1"/>
    <col min="11536" max="11536" width="29.6640625" style="411" customWidth="1"/>
    <col min="11537" max="11537" width="7" style="411" customWidth="1"/>
    <col min="11538" max="11538" width="0" style="411" hidden="1" customWidth="1"/>
    <col min="11539" max="11539" width="12.109375" style="411" customWidth="1"/>
    <col min="11540" max="11540" width="12.44140625" style="411" bestFit="1" customWidth="1"/>
    <col min="11541" max="11541" width="11.33203125" style="411" bestFit="1" customWidth="1"/>
    <col min="11542" max="11544" width="0" style="411" hidden="1" customWidth="1"/>
    <col min="11545" max="11545" width="12.109375" style="411" customWidth="1"/>
    <col min="11546" max="11546" width="12.44140625" style="411" bestFit="1" customWidth="1"/>
    <col min="11547" max="11547" width="9.33203125" style="411" customWidth="1"/>
    <col min="11548" max="11548" width="14.33203125" style="411" customWidth="1"/>
    <col min="11549" max="11784" width="8.88671875" style="411"/>
    <col min="11785" max="11785" width="5.44140625" style="411" customWidth="1"/>
    <col min="11786" max="11786" width="27.33203125" style="411" customWidth="1"/>
    <col min="11787" max="11787" width="12.88671875" style="411" customWidth="1"/>
    <col min="11788" max="11788" width="6.6640625" style="411" customWidth="1"/>
    <col min="11789" max="11789" width="7.5546875" style="411" customWidth="1"/>
    <col min="11790" max="11790" width="7.88671875" style="411" customWidth="1"/>
    <col min="11791" max="11791" width="10.33203125" style="411" customWidth="1"/>
    <col min="11792" max="11792" width="29.6640625" style="411" customWidth="1"/>
    <col min="11793" max="11793" width="7" style="411" customWidth="1"/>
    <col min="11794" max="11794" width="0" style="411" hidden="1" customWidth="1"/>
    <col min="11795" max="11795" width="12.109375" style="411" customWidth="1"/>
    <col min="11796" max="11796" width="12.44140625" style="411" bestFit="1" customWidth="1"/>
    <col min="11797" max="11797" width="11.33203125" style="411" bestFit="1" customWidth="1"/>
    <col min="11798" max="11800" width="0" style="411" hidden="1" customWidth="1"/>
    <col min="11801" max="11801" width="12.109375" style="411" customWidth="1"/>
    <col min="11802" max="11802" width="12.44140625" style="411" bestFit="1" customWidth="1"/>
    <col min="11803" max="11803" width="9.33203125" style="411" customWidth="1"/>
    <col min="11804" max="11804" width="14.33203125" style="411" customWidth="1"/>
    <col min="11805" max="12040" width="8.88671875" style="411"/>
    <col min="12041" max="12041" width="5.44140625" style="411" customWidth="1"/>
    <col min="12042" max="12042" width="27.33203125" style="411" customWidth="1"/>
    <col min="12043" max="12043" width="12.88671875" style="411" customWidth="1"/>
    <col min="12044" max="12044" width="6.6640625" style="411" customWidth="1"/>
    <col min="12045" max="12045" width="7.5546875" style="411" customWidth="1"/>
    <col min="12046" max="12046" width="7.88671875" style="411" customWidth="1"/>
    <col min="12047" max="12047" width="10.33203125" style="411" customWidth="1"/>
    <col min="12048" max="12048" width="29.6640625" style="411" customWidth="1"/>
    <col min="12049" max="12049" width="7" style="411" customWidth="1"/>
    <col min="12050" max="12050" width="0" style="411" hidden="1" customWidth="1"/>
    <col min="12051" max="12051" width="12.109375" style="411" customWidth="1"/>
    <col min="12052" max="12052" width="12.44140625" style="411" bestFit="1" customWidth="1"/>
    <col min="12053" max="12053" width="11.33203125" style="411" bestFit="1" customWidth="1"/>
    <col min="12054" max="12056" width="0" style="411" hidden="1" customWidth="1"/>
    <col min="12057" max="12057" width="12.109375" style="411" customWidth="1"/>
    <col min="12058" max="12058" width="12.44140625" style="411" bestFit="1" customWidth="1"/>
    <col min="12059" max="12059" width="9.33203125" style="411" customWidth="1"/>
    <col min="12060" max="12060" width="14.33203125" style="411" customWidth="1"/>
    <col min="12061" max="12296" width="8.88671875" style="411"/>
    <col min="12297" max="12297" width="5.44140625" style="411" customWidth="1"/>
    <col min="12298" max="12298" width="27.33203125" style="411" customWidth="1"/>
    <col min="12299" max="12299" width="12.88671875" style="411" customWidth="1"/>
    <col min="12300" max="12300" width="6.6640625" style="411" customWidth="1"/>
    <col min="12301" max="12301" width="7.5546875" style="411" customWidth="1"/>
    <col min="12302" max="12302" width="7.88671875" style="411" customWidth="1"/>
    <col min="12303" max="12303" width="10.33203125" style="411" customWidth="1"/>
    <col min="12304" max="12304" width="29.6640625" style="411" customWidth="1"/>
    <col min="12305" max="12305" width="7" style="411" customWidth="1"/>
    <col min="12306" max="12306" width="0" style="411" hidden="1" customWidth="1"/>
    <col min="12307" max="12307" width="12.109375" style="411" customWidth="1"/>
    <col min="12308" max="12308" width="12.44140625" style="411" bestFit="1" customWidth="1"/>
    <col min="12309" max="12309" width="11.33203125" style="411" bestFit="1" customWidth="1"/>
    <col min="12310" max="12312" width="0" style="411" hidden="1" customWidth="1"/>
    <col min="12313" max="12313" width="12.109375" style="411" customWidth="1"/>
    <col min="12314" max="12314" width="12.44140625" style="411" bestFit="1" customWidth="1"/>
    <col min="12315" max="12315" width="9.33203125" style="411" customWidth="1"/>
    <col min="12316" max="12316" width="14.33203125" style="411" customWidth="1"/>
    <col min="12317" max="12552" width="8.88671875" style="411"/>
    <col min="12553" max="12553" width="5.44140625" style="411" customWidth="1"/>
    <col min="12554" max="12554" width="27.33203125" style="411" customWidth="1"/>
    <col min="12555" max="12555" width="12.88671875" style="411" customWidth="1"/>
    <col min="12556" max="12556" width="6.6640625" style="411" customWidth="1"/>
    <col min="12557" max="12557" width="7.5546875" style="411" customWidth="1"/>
    <col min="12558" max="12558" width="7.88671875" style="411" customWidth="1"/>
    <col min="12559" max="12559" width="10.33203125" style="411" customWidth="1"/>
    <col min="12560" max="12560" width="29.6640625" style="411" customWidth="1"/>
    <col min="12561" max="12561" width="7" style="411" customWidth="1"/>
    <col min="12562" max="12562" width="0" style="411" hidden="1" customWidth="1"/>
    <col min="12563" max="12563" width="12.109375" style="411" customWidth="1"/>
    <col min="12564" max="12564" width="12.44140625" style="411" bestFit="1" customWidth="1"/>
    <col min="12565" max="12565" width="11.33203125" style="411" bestFit="1" customWidth="1"/>
    <col min="12566" max="12568" width="0" style="411" hidden="1" customWidth="1"/>
    <col min="12569" max="12569" width="12.109375" style="411" customWidth="1"/>
    <col min="12570" max="12570" width="12.44140625" style="411" bestFit="1" customWidth="1"/>
    <col min="12571" max="12571" width="9.33203125" style="411" customWidth="1"/>
    <col min="12572" max="12572" width="14.33203125" style="411" customWidth="1"/>
    <col min="12573" max="12808" width="8.88671875" style="411"/>
    <col min="12809" max="12809" width="5.44140625" style="411" customWidth="1"/>
    <col min="12810" max="12810" width="27.33203125" style="411" customWidth="1"/>
    <col min="12811" max="12811" width="12.88671875" style="411" customWidth="1"/>
    <col min="12812" max="12812" width="6.6640625" style="411" customWidth="1"/>
    <col min="12813" max="12813" width="7.5546875" style="411" customWidth="1"/>
    <col min="12814" max="12814" width="7.88671875" style="411" customWidth="1"/>
    <col min="12815" max="12815" width="10.33203125" style="411" customWidth="1"/>
    <col min="12816" max="12816" width="29.6640625" style="411" customWidth="1"/>
    <col min="12817" max="12817" width="7" style="411" customWidth="1"/>
    <col min="12818" max="12818" width="0" style="411" hidden="1" customWidth="1"/>
    <col min="12819" max="12819" width="12.109375" style="411" customWidth="1"/>
    <col min="12820" max="12820" width="12.44140625" style="411" bestFit="1" customWidth="1"/>
    <col min="12821" max="12821" width="11.33203125" style="411" bestFit="1" customWidth="1"/>
    <col min="12822" max="12824" width="0" style="411" hidden="1" customWidth="1"/>
    <col min="12825" max="12825" width="12.109375" style="411" customWidth="1"/>
    <col min="12826" max="12826" width="12.44140625" style="411" bestFit="1" customWidth="1"/>
    <col min="12827" max="12827" width="9.33203125" style="411" customWidth="1"/>
    <col min="12828" max="12828" width="14.33203125" style="411" customWidth="1"/>
    <col min="12829" max="13064" width="8.88671875" style="411"/>
    <col min="13065" max="13065" width="5.44140625" style="411" customWidth="1"/>
    <col min="13066" max="13066" width="27.33203125" style="411" customWidth="1"/>
    <col min="13067" max="13067" width="12.88671875" style="411" customWidth="1"/>
    <col min="13068" max="13068" width="6.6640625" style="411" customWidth="1"/>
    <col min="13069" max="13069" width="7.5546875" style="411" customWidth="1"/>
    <col min="13070" max="13070" width="7.88671875" style="411" customWidth="1"/>
    <col min="13071" max="13071" width="10.33203125" style="411" customWidth="1"/>
    <col min="13072" max="13072" width="29.6640625" style="411" customWidth="1"/>
    <col min="13073" max="13073" width="7" style="411" customWidth="1"/>
    <col min="13074" max="13074" width="0" style="411" hidden="1" customWidth="1"/>
    <col min="13075" max="13075" width="12.109375" style="411" customWidth="1"/>
    <col min="13076" max="13076" width="12.44140625" style="411" bestFit="1" customWidth="1"/>
    <col min="13077" max="13077" width="11.33203125" style="411" bestFit="1" customWidth="1"/>
    <col min="13078" max="13080" width="0" style="411" hidden="1" customWidth="1"/>
    <col min="13081" max="13081" width="12.109375" style="411" customWidth="1"/>
    <col min="13082" max="13082" width="12.44140625" style="411" bestFit="1" customWidth="1"/>
    <col min="13083" max="13083" width="9.33203125" style="411" customWidth="1"/>
    <col min="13084" max="13084" width="14.33203125" style="411" customWidth="1"/>
    <col min="13085" max="13320" width="8.88671875" style="411"/>
    <col min="13321" max="13321" width="5.44140625" style="411" customWidth="1"/>
    <col min="13322" max="13322" width="27.33203125" style="411" customWidth="1"/>
    <col min="13323" max="13323" width="12.88671875" style="411" customWidth="1"/>
    <col min="13324" max="13324" width="6.6640625" style="411" customWidth="1"/>
    <col min="13325" max="13325" width="7.5546875" style="411" customWidth="1"/>
    <col min="13326" max="13326" width="7.88671875" style="411" customWidth="1"/>
    <col min="13327" max="13327" width="10.33203125" style="411" customWidth="1"/>
    <col min="13328" max="13328" width="29.6640625" style="411" customWidth="1"/>
    <col min="13329" max="13329" width="7" style="411" customWidth="1"/>
    <col min="13330" max="13330" width="0" style="411" hidden="1" customWidth="1"/>
    <col min="13331" max="13331" width="12.109375" style="411" customWidth="1"/>
    <col min="13332" max="13332" width="12.44140625" style="411" bestFit="1" customWidth="1"/>
    <col min="13333" max="13333" width="11.33203125" style="411" bestFit="1" customWidth="1"/>
    <col min="13334" max="13336" width="0" style="411" hidden="1" customWidth="1"/>
    <col min="13337" max="13337" width="12.109375" style="411" customWidth="1"/>
    <col min="13338" max="13338" width="12.44140625" style="411" bestFit="1" customWidth="1"/>
    <col min="13339" max="13339" width="9.33203125" style="411" customWidth="1"/>
    <col min="13340" max="13340" width="14.33203125" style="411" customWidth="1"/>
    <col min="13341" max="13576" width="8.88671875" style="411"/>
    <col min="13577" max="13577" width="5.44140625" style="411" customWidth="1"/>
    <col min="13578" max="13578" width="27.33203125" style="411" customWidth="1"/>
    <col min="13579" max="13579" width="12.88671875" style="411" customWidth="1"/>
    <col min="13580" max="13580" width="6.6640625" style="411" customWidth="1"/>
    <col min="13581" max="13581" width="7.5546875" style="411" customWidth="1"/>
    <col min="13582" max="13582" width="7.88671875" style="411" customWidth="1"/>
    <col min="13583" max="13583" width="10.33203125" style="411" customWidth="1"/>
    <col min="13584" max="13584" width="29.6640625" style="411" customWidth="1"/>
    <col min="13585" max="13585" width="7" style="411" customWidth="1"/>
    <col min="13586" max="13586" width="0" style="411" hidden="1" customWidth="1"/>
    <col min="13587" max="13587" width="12.109375" style="411" customWidth="1"/>
    <col min="13588" max="13588" width="12.44140625" style="411" bestFit="1" customWidth="1"/>
    <col min="13589" max="13589" width="11.33203125" style="411" bestFit="1" customWidth="1"/>
    <col min="13590" max="13592" width="0" style="411" hidden="1" customWidth="1"/>
    <col min="13593" max="13593" width="12.109375" style="411" customWidth="1"/>
    <col min="13594" max="13594" width="12.44140625" style="411" bestFit="1" customWidth="1"/>
    <col min="13595" max="13595" width="9.33203125" style="411" customWidth="1"/>
    <col min="13596" max="13596" width="14.33203125" style="411" customWidth="1"/>
    <col min="13597" max="13832" width="8.88671875" style="411"/>
    <col min="13833" max="13833" width="5.44140625" style="411" customWidth="1"/>
    <col min="13834" max="13834" width="27.33203125" style="411" customWidth="1"/>
    <col min="13835" max="13835" width="12.88671875" style="411" customWidth="1"/>
    <col min="13836" max="13836" width="6.6640625" style="411" customWidth="1"/>
    <col min="13837" max="13837" width="7.5546875" style="411" customWidth="1"/>
    <col min="13838" max="13838" width="7.88671875" style="411" customWidth="1"/>
    <col min="13839" max="13839" width="10.33203125" style="411" customWidth="1"/>
    <col min="13840" max="13840" width="29.6640625" style="411" customWidth="1"/>
    <col min="13841" max="13841" width="7" style="411" customWidth="1"/>
    <col min="13842" max="13842" width="0" style="411" hidden="1" customWidth="1"/>
    <col min="13843" max="13843" width="12.109375" style="411" customWidth="1"/>
    <col min="13844" max="13844" width="12.44140625" style="411" bestFit="1" customWidth="1"/>
    <col min="13845" max="13845" width="11.33203125" style="411" bestFit="1" customWidth="1"/>
    <col min="13846" max="13848" width="0" style="411" hidden="1" customWidth="1"/>
    <col min="13849" max="13849" width="12.109375" style="411" customWidth="1"/>
    <col min="13850" max="13850" width="12.44140625" style="411" bestFit="1" customWidth="1"/>
    <col min="13851" max="13851" width="9.33203125" style="411" customWidth="1"/>
    <col min="13852" max="13852" width="14.33203125" style="411" customWidth="1"/>
    <col min="13853" max="14088" width="8.88671875" style="411"/>
    <col min="14089" max="14089" width="5.44140625" style="411" customWidth="1"/>
    <col min="14090" max="14090" width="27.33203125" style="411" customWidth="1"/>
    <col min="14091" max="14091" width="12.88671875" style="411" customWidth="1"/>
    <col min="14092" max="14092" width="6.6640625" style="411" customWidth="1"/>
    <col min="14093" max="14093" width="7.5546875" style="411" customWidth="1"/>
    <col min="14094" max="14094" width="7.88671875" style="411" customWidth="1"/>
    <col min="14095" max="14095" width="10.33203125" style="411" customWidth="1"/>
    <col min="14096" max="14096" width="29.6640625" style="411" customWidth="1"/>
    <col min="14097" max="14097" width="7" style="411" customWidth="1"/>
    <col min="14098" max="14098" width="0" style="411" hidden="1" customWidth="1"/>
    <col min="14099" max="14099" width="12.109375" style="411" customWidth="1"/>
    <col min="14100" max="14100" width="12.44140625" style="411" bestFit="1" customWidth="1"/>
    <col min="14101" max="14101" width="11.33203125" style="411" bestFit="1" customWidth="1"/>
    <col min="14102" max="14104" width="0" style="411" hidden="1" customWidth="1"/>
    <col min="14105" max="14105" width="12.109375" style="411" customWidth="1"/>
    <col min="14106" max="14106" width="12.44140625" style="411" bestFit="1" customWidth="1"/>
    <col min="14107" max="14107" width="9.33203125" style="411" customWidth="1"/>
    <col min="14108" max="14108" width="14.33203125" style="411" customWidth="1"/>
    <col min="14109" max="14344" width="8.88671875" style="411"/>
    <col min="14345" max="14345" width="5.44140625" style="411" customWidth="1"/>
    <col min="14346" max="14346" width="27.33203125" style="411" customWidth="1"/>
    <col min="14347" max="14347" width="12.88671875" style="411" customWidth="1"/>
    <col min="14348" max="14348" width="6.6640625" style="411" customWidth="1"/>
    <col min="14349" max="14349" width="7.5546875" style="411" customWidth="1"/>
    <col min="14350" max="14350" width="7.88671875" style="411" customWidth="1"/>
    <col min="14351" max="14351" width="10.33203125" style="411" customWidth="1"/>
    <col min="14352" max="14352" width="29.6640625" style="411" customWidth="1"/>
    <col min="14353" max="14353" width="7" style="411" customWidth="1"/>
    <col min="14354" max="14354" width="0" style="411" hidden="1" customWidth="1"/>
    <col min="14355" max="14355" width="12.109375" style="411" customWidth="1"/>
    <col min="14356" max="14356" width="12.44140625" style="411" bestFit="1" customWidth="1"/>
    <col min="14357" max="14357" width="11.33203125" style="411" bestFit="1" customWidth="1"/>
    <col min="14358" max="14360" width="0" style="411" hidden="1" customWidth="1"/>
    <col min="14361" max="14361" width="12.109375" style="411" customWidth="1"/>
    <col min="14362" max="14362" width="12.44140625" style="411" bestFit="1" customWidth="1"/>
    <col min="14363" max="14363" width="9.33203125" style="411" customWidth="1"/>
    <col min="14364" max="14364" width="14.33203125" style="411" customWidth="1"/>
    <col min="14365" max="14600" width="8.88671875" style="411"/>
    <col min="14601" max="14601" width="5.44140625" style="411" customWidth="1"/>
    <col min="14602" max="14602" width="27.33203125" style="411" customWidth="1"/>
    <col min="14603" max="14603" width="12.88671875" style="411" customWidth="1"/>
    <col min="14604" max="14604" width="6.6640625" style="411" customWidth="1"/>
    <col min="14605" max="14605" width="7.5546875" style="411" customWidth="1"/>
    <col min="14606" max="14606" width="7.88671875" style="411" customWidth="1"/>
    <col min="14607" max="14607" width="10.33203125" style="411" customWidth="1"/>
    <col min="14608" max="14608" width="29.6640625" style="411" customWidth="1"/>
    <col min="14609" max="14609" width="7" style="411" customWidth="1"/>
    <col min="14610" max="14610" width="0" style="411" hidden="1" customWidth="1"/>
    <col min="14611" max="14611" width="12.109375" style="411" customWidth="1"/>
    <col min="14612" max="14612" width="12.44140625" style="411" bestFit="1" customWidth="1"/>
    <col min="14613" max="14613" width="11.33203125" style="411" bestFit="1" customWidth="1"/>
    <col min="14614" max="14616" width="0" style="411" hidden="1" customWidth="1"/>
    <col min="14617" max="14617" width="12.109375" style="411" customWidth="1"/>
    <col min="14618" max="14618" width="12.44140625" style="411" bestFit="1" customWidth="1"/>
    <col min="14619" max="14619" width="9.33203125" style="411" customWidth="1"/>
    <col min="14620" max="14620" width="14.33203125" style="411" customWidth="1"/>
    <col min="14621" max="14856" width="8.88671875" style="411"/>
    <col min="14857" max="14857" width="5.44140625" style="411" customWidth="1"/>
    <col min="14858" max="14858" width="27.33203125" style="411" customWidth="1"/>
    <col min="14859" max="14859" width="12.88671875" style="411" customWidth="1"/>
    <col min="14860" max="14860" width="6.6640625" style="411" customWidth="1"/>
    <col min="14861" max="14861" width="7.5546875" style="411" customWidth="1"/>
    <col min="14862" max="14862" width="7.88671875" style="411" customWidth="1"/>
    <col min="14863" max="14863" width="10.33203125" style="411" customWidth="1"/>
    <col min="14864" max="14864" width="29.6640625" style="411" customWidth="1"/>
    <col min="14865" max="14865" width="7" style="411" customWidth="1"/>
    <col min="14866" max="14866" width="0" style="411" hidden="1" customWidth="1"/>
    <col min="14867" max="14867" width="12.109375" style="411" customWidth="1"/>
    <col min="14868" max="14868" width="12.44140625" style="411" bestFit="1" customWidth="1"/>
    <col min="14869" max="14869" width="11.33203125" style="411" bestFit="1" customWidth="1"/>
    <col min="14870" max="14872" width="0" style="411" hidden="1" customWidth="1"/>
    <col min="14873" max="14873" width="12.109375" style="411" customWidth="1"/>
    <col min="14874" max="14874" width="12.44140625" style="411" bestFit="1" customWidth="1"/>
    <col min="14875" max="14875" width="9.33203125" style="411" customWidth="1"/>
    <col min="14876" max="14876" width="14.33203125" style="411" customWidth="1"/>
    <col min="14877" max="15112" width="8.88671875" style="411"/>
    <col min="15113" max="15113" width="5.44140625" style="411" customWidth="1"/>
    <col min="15114" max="15114" width="27.33203125" style="411" customWidth="1"/>
    <col min="15115" max="15115" width="12.88671875" style="411" customWidth="1"/>
    <col min="15116" max="15116" width="6.6640625" style="411" customWidth="1"/>
    <col min="15117" max="15117" width="7.5546875" style="411" customWidth="1"/>
    <col min="15118" max="15118" width="7.88671875" style="411" customWidth="1"/>
    <col min="15119" max="15119" width="10.33203125" style="411" customWidth="1"/>
    <col min="15120" max="15120" width="29.6640625" style="411" customWidth="1"/>
    <col min="15121" max="15121" width="7" style="411" customWidth="1"/>
    <col min="15122" max="15122" width="0" style="411" hidden="1" customWidth="1"/>
    <col min="15123" max="15123" width="12.109375" style="411" customWidth="1"/>
    <col min="15124" max="15124" width="12.44140625" style="411" bestFit="1" customWidth="1"/>
    <col min="15125" max="15125" width="11.33203125" style="411" bestFit="1" customWidth="1"/>
    <col min="15126" max="15128" width="0" style="411" hidden="1" customWidth="1"/>
    <col min="15129" max="15129" width="12.109375" style="411" customWidth="1"/>
    <col min="15130" max="15130" width="12.44140625" style="411" bestFit="1" customWidth="1"/>
    <col min="15131" max="15131" width="9.33203125" style="411" customWidth="1"/>
    <col min="15132" max="15132" width="14.33203125" style="411" customWidth="1"/>
    <col min="15133" max="15368" width="8.88671875" style="411"/>
    <col min="15369" max="15369" width="5.44140625" style="411" customWidth="1"/>
    <col min="15370" max="15370" width="27.33203125" style="411" customWidth="1"/>
    <col min="15371" max="15371" width="12.88671875" style="411" customWidth="1"/>
    <col min="15372" max="15372" width="6.6640625" style="411" customWidth="1"/>
    <col min="15373" max="15373" width="7.5546875" style="411" customWidth="1"/>
    <col min="15374" max="15374" width="7.88671875" style="411" customWidth="1"/>
    <col min="15375" max="15375" width="10.33203125" style="411" customWidth="1"/>
    <col min="15376" max="15376" width="29.6640625" style="411" customWidth="1"/>
    <col min="15377" max="15377" width="7" style="411" customWidth="1"/>
    <col min="15378" max="15378" width="0" style="411" hidden="1" customWidth="1"/>
    <col min="15379" max="15379" width="12.109375" style="411" customWidth="1"/>
    <col min="15380" max="15380" width="12.44140625" style="411" bestFit="1" customWidth="1"/>
    <col min="15381" max="15381" width="11.33203125" style="411" bestFit="1" customWidth="1"/>
    <col min="15382" max="15384" width="0" style="411" hidden="1" customWidth="1"/>
    <col min="15385" max="15385" width="12.109375" style="411" customWidth="1"/>
    <col min="15386" max="15386" width="12.44140625" style="411" bestFit="1" customWidth="1"/>
    <col min="15387" max="15387" width="9.33203125" style="411" customWidth="1"/>
    <col min="15388" max="15388" width="14.33203125" style="411" customWidth="1"/>
    <col min="15389" max="15624" width="8.88671875" style="411"/>
    <col min="15625" max="15625" width="5.44140625" style="411" customWidth="1"/>
    <col min="15626" max="15626" width="27.33203125" style="411" customWidth="1"/>
    <col min="15627" max="15627" width="12.88671875" style="411" customWidth="1"/>
    <col min="15628" max="15628" width="6.6640625" style="411" customWidth="1"/>
    <col min="15629" max="15629" width="7.5546875" style="411" customWidth="1"/>
    <col min="15630" max="15630" width="7.88671875" style="411" customWidth="1"/>
    <col min="15631" max="15631" width="10.33203125" style="411" customWidth="1"/>
    <col min="15632" max="15632" width="29.6640625" style="411" customWidth="1"/>
    <col min="15633" max="15633" width="7" style="411" customWidth="1"/>
    <col min="15634" max="15634" width="0" style="411" hidden="1" customWidth="1"/>
    <col min="15635" max="15635" width="12.109375" style="411" customWidth="1"/>
    <col min="15636" max="15636" width="12.44140625" style="411" bestFit="1" customWidth="1"/>
    <col min="15637" max="15637" width="11.33203125" style="411" bestFit="1" customWidth="1"/>
    <col min="15638" max="15640" width="0" style="411" hidden="1" customWidth="1"/>
    <col min="15641" max="15641" width="12.109375" style="411" customWidth="1"/>
    <col min="15642" max="15642" width="12.44140625" style="411" bestFit="1" customWidth="1"/>
    <col min="15643" max="15643" width="9.33203125" style="411" customWidth="1"/>
    <col min="15644" max="15644" width="14.33203125" style="411" customWidth="1"/>
    <col min="15645" max="15880" width="8.88671875" style="411"/>
    <col min="15881" max="15881" width="5.44140625" style="411" customWidth="1"/>
    <col min="15882" max="15882" width="27.33203125" style="411" customWidth="1"/>
    <col min="15883" max="15883" width="12.88671875" style="411" customWidth="1"/>
    <col min="15884" max="15884" width="6.6640625" style="411" customWidth="1"/>
    <col min="15885" max="15885" width="7.5546875" style="411" customWidth="1"/>
    <col min="15886" max="15886" width="7.88671875" style="411" customWidth="1"/>
    <col min="15887" max="15887" width="10.33203125" style="411" customWidth="1"/>
    <col min="15888" max="15888" width="29.6640625" style="411" customWidth="1"/>
    <col min="15889" max="15889" width="7" style="411" customWidth="1"/>
    <col min="15890" max="15890" width="0" style="411" hidden="1" customWidth="1"/>
    <col min="15891" max="15891" width="12.109375" style="411" customWidth="1"/>
    <col min="15892" max="15892" width="12.44140625" style="411" bestFit="1" customWidth="1"/>
    <col min="15893" max="15893" width="11.33203125" style="411" bestFit="1" customWidth="1"/>
    <col min="15894" max="15896" width="0" style="411" hidden="1" customWidth="1"/>
    <col min="15897" max="15897" width="12.109375" style="411" customWidth="1"/>
    <col min="15898" max="15898" width="12.44140625" style="411" bestFit="1" customWidth="1"/>
    <col min="15899" max="15899" width="9.33203125" style="411" customWidth="1"/>
    <col min="15900" max="15900" width="14.33203125" style="411" customWidth="1"/>
    <col min="15901" max="16136" width="8.88671875" style="411"/>
    <col min="16137" max="16137" width="5.44140625" style="411" customWidth="1"/>
    <col min="16138" max="16138" width="27.33203125" style="411" customWidth="1"/>
    <col min="16139" max="16139" width="12.88671875" style="411" customWidth="1"/>
    <col min="16140" max="16140" width="6.6640625" style="411" customWidth="1"/>
    <col min="16141" max="16141" width="7.5546875" style="411" customWidth="1"/>
    <col min="16142" max="16142" width="7.88671875" style="411" customWidth="1"/>
    <col min="16143" max="16143" width="10.33203125" style="411" customWidth="1"/>
    <col min="16144" max="16144" width="29.6640625" style="411" customWidth="1"/>
    <col min="16145" max="16145" width="7" style="411" customWidth="1"/>
    <col min="16146" max="16146" width="0" style="411" hidden="1" customWidth="1"/>
    <col min="16147" max="16147" width="12.109375" style="411" customWidth="1"/>
    <col min="16148" max="16148" width="12.44140625" style="411" bestFit="1" customWidth="1"/>
    <col min="16149" max="16149" width="11.33203125" style="411" bestFit="1" customWidth="1"/>
    <col min="16150" max="16152" width="0" style="411" hidden="1" customWidth="1"/>
    <col min="16153" max="16153" width="12.109375" style="411" customWidth="1"/>
    <col min="16154" max="16154" width="12.44140625" style="411" bestFit="1" customWidth="1"/>
    <col min="16155" max="16155" width="9.33203125" style="411" customWidth="1"/>
    <col min="16156" max="16156" width="14.33203125" style="411" customWidth="1"/>
    <col min="16157" max="16384" width="8.88671875" style="411"/>
  </cols>
  <sheetData>
    <row r="1" spans="1:38" ht="17.399999999999999">
      <c r="A1" s="906" t="s">
        <v>1627</v>
      </c>
      <c r="B1" s="906"/>
      <c r="C1" s="906"/>
      <c r="D1" s="906"/>
      <c r="E1" s="906"/>
      <c r="F1" s="906"/>
      <c r="G1" s="906"/>
      <c r="H1" s="906"/>
      <c r="I1" s="906"/>
      <c r="J1" s="906"/>
      <c r="K1" s="906"/>
      <c r="L1" s="906"/>
      <c r="M1" s="906"/>
      <c r="N1" s="906"/>
      <c r="O1" s="906"/>
      <c r="P1" s="906"/>
      <c r="Q1" s="906"/>
      <c r="R1" s="906"/>
      <c r="S1" s="906"/>
      <c r="T1" s="906"/>
      <c r="U1" s="906"/>
      <c r="V1" s="906"/>
      <c r="W1" s="906"/>
      <c r="X1" s="906"/>
      <c r="Y1" s="906"/>
      <c r="Z1" s="906"/>
      <c r="AA1" s="906"/>
      <c r="AB1" s="906"/>
    </row>
    <row r="2" spans="1:38" s="453" customFormat="1" ht="17.399999999999999">
      <c r="A2" s="930" t="s">
        <v>1774</v>
      </c>
      <c r="B2" s="896"/>
      <c r="C2" s="896"/>
      <c r="D2" s="896"/>
      <c r="E2" s="896"/>
      <c r="F2" s="896"/>
      <c r="G2" s="896"/>
      <c r="H2" s="896"/>
      <c r="I2" s="896"/>
      <c r="J2" s="896"/>
      <c r="K2" s="896"/>
      <c r="L2" s="896"/>
      <c r="M2" s="896"/>
      <c r="N2" s="896"/>
      <c r="O2" s="896"/>
      <c r="P2" s="896"/>
      <c r="Q2" s="896"/>
      <c r="R2" s="896"/>
      <c r="S2" s="896"/>
      <c r="T2" s="896"/>
      <c r="U2" s="896"/>
      <c r="V2" s="896"/>
      <c r="W2" s="896"/>
      <c r="X2" s="896"/>
      <c r="Y2" s="896"/>
      <c r="Z2" s="896"/>
      <c r="AA2" s="896"/>
      <c r="AB2" s="896"/>
    </row>
    <row r="3" spans="1:38" s="453" customFormat="1" ht="19.5" customHeight="1">
      <c r="A3" s="897" t="s">
        <v>377</v>
      </c>
      <c r="B3" s="897"/>
      <c r="C3" s="897"/>
      <c r="D3" s="897"/>
      <c r="E3" s="897"/>
      <c r="F3" s="897"/>
      <c r="G3" s="897"/>
      <c r="H3" s="897"/>
      <c r="I3" s="897"/>
      <c r="J3" s="897"/>
      <c r="K3" s="897"/>
      <c r="L3" s="897"/>
      <c r="M3" s="897"/>
      <c r="N3" s="897"/>
      <c r="O3" s="897"/>
      <c r="P3" s="897"/>
      <c r="Q3" s="897"/>
      <c r="R3" s="897"/>
      <c r="S3" s="897"/>
      <c r="T3" s="897"/>
      <c r="U3" s="897"/>
      <c r="V3" s="897"/>
      <c r="W3" s="897"/>
      <c r="X3" s="897"/>
      <c r="Y3" s="897"/>
      <c r="Z3" s="897"/>
      <c r="AA3" s="897"/>
      <c r="AB3" s="897"/>
      <c r="AC3" s="432"/>
      <c r="AD3" s="432"/>
      <c r="AE3" s="432"/>
      <c r="AF3" s="432"/>
      <c r="AG3" s="432"/>
      <c r="AH3" s="432"/>
      <c r="AI3" s="432"/>
      <c r="AJ3" s="432"/>
      <c r="AK3" s="432"/>
      <c r="AL3" s="432"/>
    </row>
    <row r="4" spans="1:38" s="453" customFormat="1" ht="18">
      <c r="A4" s="929" t="str">
        <f>PL1.KH25!A3</f>
        <v>(Kèm theo Nghị quyết số 24/NQ-HĐND  ngày 22 tháng 8 năm 2025 của HĐND tỉnh Quảng Ngãi)</v>
      </c>
      <c r="B4" s="929"/>
      <c r="C4" s="929"/>
      <c r="D4" s="929"/>
      <c r="E4" s="929"/>
      <c r="F4" s="929"/>
      <c r="G4" s="929"/>
      <c r="H4" s="929"/>
      <c r="I4" s="929"/>
      <c r="J4" s="929"/>
      <c r="K4" s="929"/>
      <c r="L4" s="929"/>
      <c r="M4" s="929"/>
      <c r="N4" s="929"/>
      <c r="O4" s="929"/>
      <c r="P4" s="929"/>
      <c r="Q4" s="929"/>
      <c r="R4" s="929"/>
      <c r="S4" s="929"/>
      <c r="T4" s="929"/>
      <c r="U4" s="929"/>
      <c r="V4" s="929"/>
      <c r="W4" s="929"/>
      <c r="X4" s="929"/>
      <c r="Y4" s="929"/>
      <c r="Z4" s="929"/>
      <c r="AA4" s="929"/>
      <c r="AB4" s="929"/>
    </row>
    <row r="5" spans="1:38" ht="16.8">
      <c r="A5" s="932"/>
      <c r="B5" s="932"/>
      <c r="C5" s="932"/>
      <c r="D5" s="932"/>
      <c r="E5" s="932"/>
      <c r="F5" s="932"/>
      <c r="G5" s="932"/>
      <c r="H5" s="932"/>
      <c r="I5" s="932"/>
      <c r="J5" s="932"/>
      <c r="K5" s="932"/>
      <c r="L5" s="932"/>
      <c r="M5" s="932"/>
      <c r="N5" s="932"/>
      <c r="O5" s="932"/>
      <c r="P5" s="932"/>
      <c r="Q5" s="932"/>
      <c r="R5" s="932"/>
      <c r="S5" s="932"/>
      <c r="T5" s="932"/>
      <c r="U5" s="932"/>
      <c r="V5" s="932"/>
      <c r="W5" s="932"/>
      <c r="X5" s="932"/>
      <c r="Y5" s="932"/>
      <c r="Z5" s="932"/>
      <c r="AA5" s="932"/>
      <c r="AB5" s="932"/>
    </row>
    <row r="6" spans="1:38" ht="15.6">
      <c r="A6" s="39"/>
      <c r="B6" s="252"/>
      <c r="C6" s="253"/>
      <c r="D6" s="253"/>
      <c r="E6" s="41"/>
      <c r="F6" s="23"/>
      <c r="G6" s="23"/>
      <c r="H6" s="39"/>
      <c r="I6" s="254"/>
      <c r="J6" s="39"/>
      <c r="K6" s="255"/>
      <c r="L6" s="255"/>
      <c r="M6" s="255"/>
      <c r="N6" s="255"/>
      <c r="O6" s="255"/>
      <c r="P6" s="255"/>
      <c r="Q6" s="255"/>
      <c r="R6" s="255"/>
      <c r="S6" s="931" t="s">
        <v>1582</v>
      </c>
      <c r="T6" s="931"/>
      <c r="U6" s="931"/>
      <c r="V6" s="931"/>
      <c r="W6" s="931"/>
      <c r="X6" s="931"/>
      <c r="Y6" s="931"/>
      <c r="Z6" s="931"/>
      <c r="AA6" s="931"/>
      <c r="AB6" s="931"/>
    </row>
    <row r="7" spans="1:38" ht="43.5" customHeight="1">
      <c r="A7" s="928" t="s">
        <v>403</v>
      </c>
      <c r="B7" s="928" t="s">
        <v>404</v>
      </c>
      <c r="C7" s="928" t="s">
        <v>421</v>
      </c>
      <c r="D7" s="928" t="s">
        <v>1583</v>
      </c>
      <c r="E7" s="928" t="s">
        <v>423</v>
      </c>
      <c r="F7" s="928" t="s">
        <v>424</v>
      </c>
      <c r="G7" s="928" t="s">
        <v>1584</v>
      </c>
      <c r="H7" s="928" t="s">
        <v>405</v>
      </c>
      <c r="I7" s="928" t="s">
        <v>406</v>
      </c>
      <c r="J7" s="928"/>
      <c r="K7" s="928"/>
      <c r="L7" s="928"/>
      <c r="M7" s="928" t="s">
        <v>1858</v>
      </c>
      <c r="N7" s="928"/>
      <c r="O7" s="928"/>
      <c r="P7" s="928" t="s">
        <v>428</v>
      </c>
      <c r="Q7" s="928"/>
      <c r="R7" s="928"/>
      <c r="S7" s="928" t="s">
        <v>1585</v>
      </c>
      <c r="T7" s="928"/>
      <c r="U7" s="928"/>
      <c r="V7" s="928" t="s">
        <v>1859</v>
      </c>
      <c r="W7" s="928"/>
      <c r="X7" s="928"/>
      <c r="Y7" s="928"/>
      <c r="Z7" s="928"/>
      <c r="AA7" s="928" t="s">
        <v>1586</v>
      </c>
      <c r="AB7" s="933" t="s">
        <v>16</v>
      </c>
      <c r="AD7" s="843"/>
    </row>
    <row r="8" spans="1:38">
      <c r="A8" s="928"/>
      <c r="B8" s="928"/>
      <c r="C8" s="928"/>
      <c r="D8" s="928"/>
      <c r="E8" s="928"/>
      <c r="F8" s="928"/>
      <c r="G8" s="928"/>
      <c r="H8" s="928"/>
      <c r="I8" s="928" t="s">
        <v>410</v>
      </c>
      <c r="J8" s="928" t="s">
        <v>8</v>
      </c>
      <c r="K8" s="928" t="s">
        <v>15</v>
      </c>
      <c r="L8" s="928"/>
      <c r="M8" s="928" t="s">
        <v>19</v>
      </c>
      <c r="N8" s="928" t="s">
        <v>15</v>
      </c>
      <c r="O8" s="928"/>
      <c r="P8" s="928" t="s">
        <v>19</v>
      </c>
      <c r="Q8" s="928" t="s">
        <v>15</v>
      </c>
      <c r="R8" s="928"/>
      <c r="S8" s="928" t="s">
        <v>19</v>
      </c>
      <c r="T8" s="928" t="s">
        <v>15</v>
      </c>
      <c r="U8" s="928"/>
      <c r="V8" s="928">
        <v>2021</v>
      </c>
      <c r="W8" s="928">
        <v>2022</v>
      </c>
      <c r="X8" s="928">
        <v>2023</v>
      </c>
      <c r="Y8" s="928">
        <v>2024</v>
      </c>
      <c r="Z8" s="928" t="s">
        <v>1860</v>
      </c>
      <c r="AA8" s="928"/>
      <c r="AB8" s="933"/>
    </row>
    <row r="9" spans="1:38">
      <c r="A9" s="928"/>
      <c r="B9" s="928"/>
      <c r="C9" s="928"/>
      <c r="D9" s="928"/>
      <c r="E9" s="928"/>
      <c r="F9" s="928"/>
      <c r="G9" s="928"/>
      <c r="H9" s="928"/>
      <c r="I9" s="928"/>
      <c r="J9" s="928"/>
      <c r="K9" s="928" t="s">
        <v>21</v>
      </c>
      <c r="L9" s="928" t="s">
        <v>433</v>
      </c>
      <c r="M9" s="928"/>
      <c r="N9" s="928" t="s">
        <v>21</v>
      </c>
      <c r="O9" s="928" t="s">
        <v>433</v>
      </c>
      <c r="P9" s="928"/>
      <c r="Q9" s="928" t="s">
        <v>21</v>
      </c>
      <c r="R9" s="928" t="s">
        <v>433</v>
      </c>
      <c r="S9" s="928"/>
      <c r="T9" s="928" t="s">
        <v>21</v>
      </c>
      <c r="U9" s="928" t="s">
        <v>433</v>
      </c>
      <c r="V9" s="928"/>
      <c r="W9" s="928"/>
      <c r="X9" s="928"/>
      <c r="Y9" s="928"/>
      <c r="Z9" s="928"/>
      <c r="AA9" s="928"/>
      <c r="AB9" s="933"/>
    </row>
    <row r="10" spans="1:38">
      <c r="A10" s="928"/>
      <c r="B10" s="928"/>
      <c r="C10" s="928"/>
      <c r="D10" s="928"/>
      <c r="E10" s="928"/>
      <c r="F10" s="928"/>
      <c r="G10" s="928"/>
      <c r="H10" s="928"/>
      <c r="I10" s="928"/>
      <c r="J10" s="928"/>
      <c r="K10" s="928"/>
      <c r="L10" s="928"/>
      <c r="M10" s="928"/>
      <c r="N10" s="928"/>
      <c r="O10" s="928"/>
      <c r="P10" s="928"/>
      <c r="Q10" s="928"/>
      <c r="R10" s="928"/>
      <c r="S10" s="928"/>
      <c r="T10" s="928"/>
      <c r="U10" s="928"/>
      <c r="V10" s="928"/>
      <c r="W10" s="928"/>
      <c r="X10" s="928"/>
      <c r="Y10" s="928"/>
      <c r="Z10" s="928"/>
      <c r="AA10" s="928"/>
      <c r="AB10" s="933"/>
    </row>
    <row r="11" spans="1:38" s="397" customFormat="1">
      <c r="A11" s="664">
        <v>1</v>
      </c>
      <c r="B11" s="664">
        <v>2</v>
      </c>
      <c r="C11" s="664">
        <v>3</v>
      </c>
      <c r="D11" s="664">
        <v>4</v>
      </c>
      <c r="E11" s="664">
        <v>5</v>
      </c>
      <c r="F11" s="664">
        <v>6</v>
      </c>
      <c r="G11" s="664">
        <v>7</v>
      </c>
      <c r="H11" s="664">
        <v>8</v>
      </c>
      <c r="I11" s="664">
        <v>7</v>
      </c>
      <c r="J11" s="665" t="s">
        <v>1587</v>
      </c>
      <c r="K11" s="664">
        <v>10</v>
      </c>
      <c r="L11" s="664">
        <v>11</v>
      </c>
      <c r="M11" s="664"/>
      <c r="N11" s="664"/>
      <c r="O11" s="664"/>
      <c r="P11" s="664">
        <v>11</v>
      </c>
      <c r="Q11" s="664">
        <v>12</v>
      </c>
      <c r="R11" s="664">
        <v>13</v>
      </c>
      <c r="S11" s="665" t="s">
        <v>1588</v>
      </c>
      <c r="T11" s="664">
        <v>13</v>
      </c>
      <c r="U11" s="664">
        <v>14</v>
      </c>
      <c r="V11" s="664"/>
      <c r="W11" s="664"/>
      <c r="X11" s="664"/>
      <c r="Y11" s="664"/>
      <c r="Z11" s="664"/>
      <c r="AA11" s="664">
        <v>13</v>
      </c>
      <c r="AB11" s="666">
        <v>14</v>
      </c>
    </row>
    <row r="12" spans="1:38" s="453" customFormat="1" ht="27.75" customHeight="1">
      <c r="A12" s="636"/>
      <c r="B12" s="635" t="s">
        <v>365</v>
      </c>
      <c r="C12" s="636"/>
      <c r="D12" s="636"/>
      <c r="E12" s="636"/>
      <c r="F12" s="636"/>
      <c r="G12" s="636"/>
      <c r="H12" s="636"/>
      <c r="I12" s="636"/>
      <c r="J12" s="637">
        <f>J13+J18+J20+J22+J26</f>
        <v>2224053</v>
      </c>
      <c r="K12" s="637">
        <f t="shared" ref="K12:AA12" si="0">K13+K18+K20+K22+K26</f>
        <v>1932539</v>
      </c>
      <c r="L12" s="637">
        <f t="shared" si="0"/>
        <v>213407</v>
      </c>
      <c r="M12" s="637">
        <f t="shared" ref="M12:O12" si="1">M13+M18+M20+M22+M26</f>
        <v>1001388.6614999999</v>
      </c>
      <c r="N12" s="637">
        <f t="shared" si="1"/>
        <v>815888.66149999993</v>
      </c>
      <c r="O12" s="637">
        <f t="shared" si="1"/>
        <v>185500</v>
      </c>
      <c r="P12" s="637">
        <f t="shared" si="0"/>
        <v>841555.01575899986</v>
      </c>
      <c r="Q12" s="637">
        <f t="shared" si="0"/>
        <v>701055.01575899986</v>
      </c>
      <c r="R12" s="637">
        <f t="shared" si="0"/>
        <v>140500</v>
      </c>
      <c r="S12" s="637">
        <f t="shared" ref="S12:Z12" si="2">S13+S18+S20+S22+S26</f>
        <v>1368597.9842410001</v>
      </c>
      <c r="T12" s="637">
        <f t="shared" si="2"/>
        <v>1220083.9842410001</v>
      </c>
      <c r="U12" s="637">
        <f t="shared" si="2"/>
        <v>148514</v>
      </c>
      <c r="V12" s="637">
        <f t="shared" si="2"/>
        <v>1000</v>
      </c>
      <c r="W12" s="637">
        <f t="shared" si="2"/>
        <v>2000</v>
      </c>
      <c r="X12" s="637">
        <f t="shared" si="2"/>
        <v>64589.675999999999</v>
      </c>
      <c r="Y12" s="637">
        <f t="shared" si="2"/>
        <v>205663.81668400002</v>
      </c>
      <c r="Z12" s="637">
        <f t="shared" si="2"/>
        <v>268007.40426499984</v>
      </c>
      <c r="AA12" s="637">
        <f t="shared" si="0"/>
        <v>696246.98424100014</v>
      </c>
      <c r="AB12" s="638"/>
      <c r="AD12" s="844"/>
      <c r="AG12" s="798">
        <f>SUM(V12:Z12)</f>
        <v>541260.89694899996</v>
      </c>
    </row>
    <row r="13" spans="1:38" s="453" customFormat="1" ht="31.65" customHeight="1">
      <c r="A13" s="639" t="s">
        <v>39</v>
      </c>
      <c r="B13" s="639" t="s">
        <v>442</v>
      </c>
      <c r="C13" s="640"/>
      <c r="D13" s="640"/>
      <c r="E13" s="640"/>
      <c r="F13" s="640"/>
      <c r="G13" s="640"/>
      <c r="H13" s="640"/>
      <c r="I13" s="640"/>
      <c r="J13" s="641">
        <f>SUM(J14:J17)</f>
        <v>1140546</v>
      </c>
      <c r="K13" s="641">
        <f t="shared" ref="K13:AA13" si="3">SUM(K14:K17)</f>
        <v>1080939</v>
      </c>
      <c r="L13" s="641">
        <f t="shared" si="3"/>
        <v>0</v>
      </c>
      <c r="M13" s="641">
        <f t="shared" ref="M13:O13" si="4">SUM(M14:M17)</f>
        <v>270268.8615</v>
      </c>
      <c r="N13" s="641">
        <f t="shared" si="4"/>
        <v>270268.8615</v>
      </c>
      <c r="O13" s="641">
        <f t="shared" si="4"/>
        <v>0</v>
      </c>
      <c r="P13" s="641">
        <f t="shared" si="3"/>
        <v>264000</v>
      </c>
      <c r="Q13" s="641">
        <f t="shared" si="3"/>
        <v>264000</v>
      </c>
      <c r="R13" s="641">
        <f t="shared" si="3"/>
        <v>0</v>
      </c>
      <c r="S13" s="641">
        <f t="shared" ref="S13:Z13" si="5">SUM(S14:S17)</f>
        <v>876546</v>
      </c>
      <c r="T13" s="641">
        <f t="shared" si="5"/>
        <v>816939</v>
      </c>
      <c r="U13" s="641">
        <f t="shared" si="5"/>
        <v>59607</v>
      </c>
      <c r="V13" s="641">
        <f t="shared" si="5"/>
        <v>0</v>
      </c>
      <c r="W13" s="641">
        <f t="shared" si="5"/>
        <v>2000</v>
      </c>
      <c r="X13" s="641">
        <f t="shared" si="5"/>
        <v>0</v>
      </c>
      <c r="Y13" s="641">
        <f t="shared" si="5"/>
        <v>12000</v>
      </c>
      <c r="Z13" s="641">
        <f t="shared" si="5"/>
        <v>100000</v>
      </c>
      <c r="AA13" s="641">
        <f t="shared" si="3"/>
        <v>334500</v>
      </c>
      <c r="AB13" s="642"/>
      <c r="AD13" s="844"/>
      <c r="AG13" s="798">
        <f t="shared" ref="AG13:AG27" si="6">SUM(V13:Z13)</f>
        <v>114000</v>
      </c>
    </row>
    <row r="14" spans="1:38" s="412" customFormat="1" ht="49.5" customHeight="1">
      <c r="A14" s="636">
        <v>1</v>
      </c>
      <c r="B14" s="643" t="s">
        <v>1589</v>
      </c>
      <c r="C14" s="644" t="s">
        <v>1590</v>
      </c>
      <c r="D14" s="645" t="s">
        <v>47</v>
      </c>
      <c r="E14" s="636" t="s">
        <v>1591</v>
      </c>
      <c r="F14" s="646"/>
      <c r="G14" s="647"/>
      <c r="H14" s="648" t="s">
        <v>91</v>
      </c>
      <c r="I14" s="748"/>
      <c r="J14" s="649">
        <v>598939</v>
      </c>
      <c r="K14" s="649">
        <v>598939</v>
      </c>
      <c r="L14" s="650"/>
      <c r="M14" s="650"/>
      <c r="N14" s="650"/>
      <c r="O14" s="650"/>
      <c r="P14" s="650">
        <f>Q14+R14</f>
        <v>150000</v>
      </c>
      <c r="Q14" s="650">
        <v>150000</v>
      </c>
      <c r="R14" s="650"/>
      <c r="S14" s="650">
        <f>T14+U14</f>
        <v>448939</v>
      </c>
      <c r="T14" s="651">
        <f>K14-Q14</f>
        <v>448939</v>
      </c>
      <c r="U14" s="651"/>
      <c r="V14" s="651"/>
      <c r="W14" s="651"/>
      <c r="X14" s="651"/>
      <c r="Y14" s="651"/>
      <c r="Z14" s="651"/>
      <c r="AA14" s="651">
        <v>150000</v>
      </c>
      <c r="AB14" s="636" t="s">
        <v>1592</v>
      </c>
      <c r="AF14" s="845">
        <f t="shared" ref="AF14:AF23" si="7">N14-AG14</f>
        <v>0</v>
      </c>
      <c r="AG14" s="798">
        <f t="shared" si="6"/>
        <v>0</v>
      </c>
    </row>
    <row r="15" spans="1:38" s="412" customFormat="1" ht="41.4">
      <c r="A15" s="636">
        <v>2</v>
      </c>
      <c r="B15" s="643" t="s">
        <v>306</v>
      </c>
      <c r="C15" s="644" t="s">
        <v>307</v>
      </c>
      <c r="D15" s="645" t="s">
        <v>47</v>
      </c>
      <c r="E15" s="636" t="s">
        <v>1577</v>
      </c>
      <c r="F15" s="647"/>
      <c r="G15" s="647"/>
      <c r="H15" s="645" t="s">
        <v>303</v>
      </c>
      <c r="I15" s="749" t="s">
        <v>384</v>
      </c>
      <c r="J15" s="650">
        <v>171725</v>
      </c>
      <c r="K15" s="650">
        <v>149000</v>
      </c>
      <c r="L15" s="650"/>
      <c r="M15" s="650">
        <f t="shared" ref="M15:M17" si="8">SUM(N15:O15)</f>
        <v>117272.86150000001</v>
      </c>
      <c r="N15" s="650">
        <v>117272.86150000001</v>
      </c>
      <c r="O15" s="650"/>
      <c r="P15" s="650">
        <f>Q15+R15</f>
        <v>55000</v>
      </c>
      <c r="Q15" s="650">
        <v>55000</v>
      </c>
      <c r="R15" s="650"/>
      <c r="S15" s="651">
        <f>T15+U15</f>
        <v>116725</v>
      </c>
      <c r="T15" s="651">
        <v>94000</v>
      </c>
      <c r="U15" s="651">
        <v>22725</v>
      </c>
      <c r="V15" s="651"/>
      <c r="W15" s="651"/>
      <c r="X15" s="651"/>
      <c r="Y15" s="651">
        <v>5000</v>
      </c>
      <c r="Z15" s="651">
        <v>50000</v>
      </c>
      <c r="AA15" s="651">
        <v>94000</v>
      </c>
      <c r="AB15" s="652"/>
      <c r="AC15" s="846">
        <f>AA15-43000</f>
        <v>51000</v>
      </c>
      <c r="AF15" s="798">
        <f t="shared" si="7"/>
        <v>62272.861500000014</v>
      </c>
      <c r="AG15" s="798">
        <f t="shared" si="6"/>
        <v>55000</v>
      </c>
    </row>
    <row r="16" spans="1:38" s="412" customFormat="1" ht="41.4">
      <c r="A16" s="636">
        <v>3</v>
      </c>
      <c r="B16" s="643" t="s">
        <v>308</v>
      </c>
      <c r="C16" s="644" t="s">
        <v>309</v>
      </c>
      <c r="D16" s="645" t="s">
        <v>47</v>
      </c>
      <c r="E16" s="636" t="s">
        <v>1614</v>
      </c>
      <c r="F16" s="647"/>
      <c r="G16" s="647"/>
      <c r="H16" s="645" t="s">
        <v>303</v>
      </c>
      <c r="I16" s="749" t="s">
        <v>383</v>
      </c>
      <c r="J16" s="650">
        <v>220000</v>
      </c>
      <c r="K16" s="650">
        <v>198000</v>
      </c>
      <c r="L16" s="650"/>
      <c r="M16" s="650">
        <f t="shared" si="8"/>
        <v>100000</v>
      </c>
      <c r="N16" s="650">
        <v>100000</v>
      </c>
      <c r="O16" s="650"/>
      <c r="P16" s="650">
        <f>Q16+R16</f>
        <v>36000</v>
      </c>
      <c r="Q16" s="650">
        <v>36000</v>
      </c>
      <c r="R16" s="650"/>
      <c r="S16" s="651">
        <f>T16+U16</f>
        <v>184000</v>
      </c>
      <c r="T16" s="651">
        <v>162000</v>
      </c>
      <c r="U16" s="651">
        <v>22000</v>
      </c>
      <c r="V16" s="651"/>
      <c r="W16" s="651">
        <v>1000</v>
      </c>
      <c r="X16" s="651"/>
      <c r="Y16" s="651">
        <v>5000</v>
      </c>
      <c r="Z16" s="651">
        <v>30000</v>
      </c>
      <c r="AA16" s="651">
        <v>40500</v>
      </c>
      <c r="AB16" s="652"/>
      <c r="AC16" s="412">
        <v>42000</v>
      </c>
      <c r="AE16" s="845">
        <f>T16-AC16</f>
        <v>120000</v>
      </c>
      <c r="AF16" s="798">
        <f t="shared" si="7"/>
        <v>64000</v>
      </c>
      <c r="AG16" s="798">
        <f t="shared" si="6"/>
        <v>36000</v>
      </c>
    </row>
    <row r="17" spans="1:33" s="412" customFormat="1" ht="27.6">
      <c r="A17" s="636">
        <v>4</v>
      </c>
      <c r="B17" s="643" t="s">
        <v>419</v>
      </c>
      <c r="C17" s="644" t="s">
        <v>1615</v>
      </c>
      <c r="D17" s="645" t="s">
        <v>47</v>
      </c>
      <c r="E17" s="636" t="s">
        <v>1616</v>
      </c>
      <c r="F17" s="647"/>
      <c r="G17" s="647"/>
      <c r="H17" s="645" t="s">
        <v>303</v>
      </c>
      <c r="I17" s="749" t="s">
        <v>420</v>
      </c>
      <c r="J17" s="650">
        <v>149882</v>
      </c>
      <c r="K17" s="650">
        <v>135000</v>
      </c>
      <c r="L17" s="650"/>
      <c r="M17" s="650">
        <f t="shared" si="8"/>
        <v>52996</v>
      </c>
      <c r="N17" s="650">
        <v>52996</v>
      </c>
      <c r="O17" s="650"/>
      <c r="P17" s="650">
        <f>Q17+R17</f>
        <v>23000</v>
      </c>
      <c r="Q17" s="650">
        <v>23000</v>
      </c>
      <c r="R17" s="650"/>
      <c r="S17" s="651">
        <f>T17+U17</f>
        <v>126882</v>
      </c>
      <c r="T17" s="651">
        <v>112000</v>
      </c>
      <c r="U17" s="651">
        <v>14882</v>
      </c>
      <c r="V17" s="651"/>
      <c r="W17" s="651">
        <v>1000</v>
      </c>
      <c r="X17" s="651"/>
      <c r="Y17" s="651">
        <v>2000</v>
      </c>
      <c r="Z17" s="651">
        <v>20000</v>
      </c>
      <c r="AA17" s="651">
        <v>50000</v>
      </c>
      <c r="AB17" s="652"/>
      <c r="AC17" s="412">
        <v>20876</v>
      </c>
      <c r="AE17" s="845">
        <f>T17-AC17</f>
        <v>91124</v>
      </c>
      <c r="AF17" s="798">
        <f t="shared" si="7"/>
        <v>29996</v>
      </c>
      <c r="AG17" s="798">
        <f t="shared" si="6"/>
        <v>23000</v>
      </c>
    </row>
    <row r="18" spans="1:33" s="412" customFormat="1" ht="30.75" customHeight="1">
      <c r="A18" s="639" t="s">
        <v>124</v>
      </c>
      <c r="B18" s="639" t="s">
        <v>1687</v>
      </c>
      <c r="C18" s="640"/>
      <c r="D18" s="640"/>
      <c r="E18" s="640"/>
      <c r="F18" s="640"/>
      <c r="G18" s="640"/>
      <c r="H18" s="640"/>
      <c r="I18" s="750"/>
      <c r="J18" s="641">
        <f>J19</f>
        <v>205000</v>
      </c>
      <c r="K18" s="641">
        <f t="shared" ref="K18:AA18" si="9">K19</f>
        <v>76000</v>
      </c>
      <c r="L18" s="641">
        <f t="shared" si="9"/>
        <v>129000</v>
      </c>
      <c r="M18" s="641">
        <f t="shared" si="9"/>
        <v>168817.8</v>
      </c>
      <c r="N18" s="641">
        <f t="shared" si="9"/>
        <v>38817.800000000003</v>
      </c>
      <c r="O18" s="641">
        <f t="shared" si="9"/>
        <v>130000</v>
      </c>
      <c r="P18" s="641">
        <f t="shared" si="9"/>
        <v>168817.8</v>
      </c>
      <c r="Q18" s="641">
        <f t="shared" si="9"/>
        <v>38817.800000000003</v>
      </c>
      <c r="R18" s="641">
        <f t="shared" si="9"/>
        <v>130000</v>
      </c>
      <c r="S18" s="641">
        <f t="shared" si="9"/>
        <v>37182.199999999997</v>
      </c>
      <c r="T18" s="641">
        <f t="shared" si="9"/>
        <v>37182.199999999997</v>
      </c>
      <c r="U18" s="641">
        <f t="shared" si="9"/>
        <v>0</v>
      </c>
      <c r="V18" s="641">
        <f t="shared" si="9"/>
        <v>0</v>
      </c>
      <c r="W18" s="641">
        <f t="shared" si="9"/>
        <v>0</v>
      </c>
      <c r="X18" s="641">
        <f t="shared" si="9"/>
        <v>0</v>
      </c>
      <c r="Y18" s="641">
        <f t="shared" si="9"/>
        <v>0</v>
      </c>
      <c r="Z18" s="641">
        <f t="shared" si="9"/>
        <v>38817.800000000003</v>
      </c>
      <c r="AA18" s="641">
        <f t="shared" si="9"/>
        <v>37182.199999999997</v>
      </c>
      <c r="AB18" s="642"/>
      <c r="AF18" s="798">
        <f t="shared" si="7"/>
        <v>0</v>
      </c>
      <c r="AG18" s="798">
        <f t="shared" si="6"/>
        <v>38817.800000000003</v>
      </c>
    </row>
    <row r="19" spans="1:33" s="412" customFormat="1" ht="79.2">
      <c r="A19" s="636">
        <f>MAX(A17:B18)+1</f>
        <v>5</v>
      </c>
      <c r="B19" s="643" t="s">
        <v>1593</v>
      </c>
      <c r="C19" s="644" t="s">
        <v>1092</v>
      </c>
      <c r="D19" s="645" t="s">
        <v>47</v>
      </c>
      <c r="E19" s="636" t="s">
        <v>1594</v>
      </c>
      <c r="F19" s="646"/>
      <c r="G19" s="647"/>
      <c r="H19" s="648" t="s">
        <v>303</v>
      </c>
      <c r="I19" s="751" t="s">
        <v>1595</v>
      </c>
      <c r="J19" s="653">
        <v>205000</v>
      </c>
      <c r="K19" s="649">
        <v>76000</v>
      </c>
      <c r="L19" s="650">
        <f>J19-K19</f>
        <v>129000</v>
      </c>
      <c r="M19" s="650">
        <v>168817.8</v>
      </c>
      <c r="N19" s="650">
        <v>38817.800000000003</v>
      </c>
      <c r="O19" s="650">
        <v>130000</v>
      </c>
      <c r="P19" s="650">
        <f>Q19+R19</f>
        <v>168817.8</v>
      </c>
      <c r="Q19" s="650">
        <v>38817.800000000003</v>
      </c>
      <c r="R19" s="650">
        <v>130000</v>
      </c>
      <c r="S19" s="651">
        <f>T19+U19</f>
        <v>37182.199999999997</v>
      </c>
      <c r="T19" s="651">
        <v>37182.199999999997</v>
      </c>
      <c r="U19" s="651">
        <v>0</v>
      </c>
      <c r="V19" s="651"/>
      <c r="W19" s="651"/>
      <c r="X19" s="651"/>
      <c r="Y19" s="651"/>
      <c r="Z19" s="651">
        <v>38817.800000000003</v>
      </c>
      <c r="AA19" s="651">
        <v>37182.199999999997</v>
      </c>
      <c r="AB19" s="652"/>
      <c r="AF19" s="798">
        <f t="shared" si="7"/>
        <v>0</v>
      </c>
      <c r="AG19" s="798">
        <f t="shared" si="6"/>
        <v>38817.800000000003</v>
      </c>
    </row>
    <row r="20" spans="1:33" s="412" customFormat="1" ht="40.65" customHeight="1">
      <c r="A20" s="639" t="s">
        <v>230</v>
      </c>
      <c r="B20" s="639" t="s">
        <v>1756</v>
      </c>
      <c r="C20" s="640"/>
      <c r="D20" s="640"/>
      <c r="E20" s="640"/>
      <c r="F20" s="640"/>
      <c r="G20" s="640"/>
      <c r="H20" s="640"/>
      <c r="I20" s="750"/>
      <c r="J20" s="641">
        <f>J21</f>
        <v>60000</v>
      </c>
      <c r="K20" s="641">
        <f t="shared" ref="K20:AA20" si="10">K21</f>
        <v>60000</v>
      </c>
      <c r="L20" s="641">
        <f t="shared" si="10"/>
        <v>0</v>
      </c>
      <c r="M20" s="641">
        <f t="shared" si="10"/>
        <v>60000</v>
      </c>
      <c r="N20" s="641">
        <f t="shared" si="10"/>
        <v>60000</v>
      </c>
      <c r="O20" s="641">
        <f t="shared" si="10"/>
        <v>0</v>
      </c>
      <c r="P20" s="641">
        <f t="shared" si="10"/>
        <v>10000</v>
      </c>
      <c r="Q20" s="641">
        <f t="shared" si="10"/>
        <v>10000</v>
      </c>
      <c r="R20" s="641">
        <f t="shared" si="10"/>
        <v>0</v>
      </c>
      <c r="S20" s="641">
        <f t="shared" si="10"/>
        <v>50000</v>
      </c>
      <c r="T20" s="641">
        <f t="shared" si="10"/>
        <v>50000</v>
      </c>
      <c r="U20" s="641">
        <f t="shared" si="10"/>
        <v>0</v>
      </c>
      <c r="V20" s="641">
        <f t="shared" si="10"/>
        <v>0</v>
      </c>
      <c r="W20" s="641">
        <f t="shared" si="10"/>
        <v>0</v>
      </c>
      <c r="X20" s="641">
        <f t="shared" si="10"/>
        <v>0</v>
      </c>
      <c r="Y20" s="641">
        <f t="shared" si="10"/>
        <v>0</v>
      </c>
      <c r="Z20" s="641">
        <f t="shared" si="10"/>
        <v>10000</v>
      </c>
      <c r="AA20" s="641">
        <f t="shared" si="10"/>
        <v>50000</v>
      </c>
      <c r="AB20" s="642"/>
      <c r="AF20" s="798">
        <f t="shared" si="7"/>
        <v>50000</v>
      </c>
      <c r="AG20" s="798">
        <f t="shared" si="6"/>
        <v>10000</v>
      </c>
    </row>
    <row r="21" spans="1:33" s="412" customFormat="1" ht="41.4">
      <c r="A21" s="636">
        <f>MAX(A19:B20)+1</f>
        <v>6</v>
      </c>
      <c r="B21" s="643" t="s">
        <v>1596</v>
      </c>
      <c r="C21" s="644" t="s">
        <v>558</v>
      </c>
      <c r="D21" s="645" t="s">
        <v>47</v>
      </c>
      <c r="E21" s="636" t="s">
        <v>907</v>
      </c>
      <c r="F21" s="646"/>
      <c r="G21" s="646" t="s">
        <v>559</v>
      </c>
      <c r="H21" s="645" t="s">
        <v>51</v>
      </c>
      <c r="I21" s="752" t="s">
        <v>1597</v>
      </c>
      <c r="J21" s="653">
        <f>K21</f>
        <v>60000</v>
      </c>
      <c r="K21" s="653">
        <v>60000</v>
      </c>
      <c r="L21" s="653"/>
      <c r="M21" s="653">
        <v>60000</v>
      </c>
      <c r="N21" s="653">
        <v>60000</v>
      </c>
      <c r="O21" s="653"/>
      <c r="P21" s="650">
        <f t="shared" ref="P21:P27" si="11">Q21+R21</f>
        <v>10000</v>
      </c>
      <c r="Q21" s="650">
        <v>10000</v>
      </c>
      <c r="R21" s="650"/>
      <c r="S21" s="651">
        <f t="shared" ref="S21:S27" si="12">T21+U21</f>
        <v>50000</v>
      </c>
      <c r="T21" s="651">
        <v>50000</v>
      </c>
      <c r="U21" s="651"/>
      <c r="V21" s="651"/>
      <c r="W21" s="651"/>
      <c r="X21" s="651"/>
      <c r="Y21" s="651"/>
      <c r="Z21" s="651">
        <v>10000</v>
      </c>
      <c r="AA21" s="651">
        <v>50000</v>
      </c>
      <c r="AB21" s="652"/>
      <c r="AF21" s="798">
        <f t="shared" si="7"/>
        <v>50000</v>
      </c>
      <c r="AG21" s="798">
        <f t="shared" si="6"/>
        <v>10000</v>
      </c>
    </row>
    <row r="22" spans="1:33" s="412" customFormat="1" ht="27.6">
      <c r="A22" s="639" t="s">
        <v>245</v>
      </c>
      <c r="B22" s="639" t="s">
        <v>499</v>
      </c>
      <c r="C22" s="640"/>
      <c r="D22" s="640"/>
      <c r="E22" s="640"/>
      <c r="F22" s="640"/>
      <c r="G22" s="640"/>
      <c r="H22" s="640"/>
      <c r="I22" s="750"/>
      <c r="J22" s="641">
        <f>SUM(J23:J25)</f>
        <v>633507</v>
      </c>
      <c r="K22" s="641">
        <f t="shared" ref="K22:AA22" si="13">SUM(K23:K25)</f>
        <v>549100</v>
      </c>
      <c r="L22" s="641">
        <f t="shared" si="13"/>
        <v>84407</v>
      </c>
      <c r="M22" s="641">
        <f t="shared" si="13"/>
        <v>502302</v>
      </c>
      <c r="N22" s="641">
        <f t="shared" si="13"/>
        <v>446802</v>
      </c>
      <c r="O22" s="641">
        <f t="shared" si="13"/>
        <v>55500</v>
      </c>
      <c r="P22" s="641">
        <f t="shared" si="13"/>
        <v>298737.32626499987</v>
      </c>
      <c r="Q22" s="641">
        <f t="shared" si="13"/>
        <v>288237.32626499987</v>
      </c>
      <c r="R22" s="641">
        <f t="shared" si="13"/>
        <v>10500</v>
      </c>
      <c r="S22" s="641">
        <f t="shared" si="13"/>
        <v>319869.67373500013</v>
      </c>
      <c r="T22" s="641">
        <f t="shared" si="13"/>
        <v>249462.67373500013</v>
      </c>
      <c r="U22" s="641">
        <f t="shared" si="13"/>
        <v>70407</v>
      </c>
      <c r="V22" s="641">
        <f t="shared" si="13"/>
        <v>500</v>
      </c>
      <c r="W22" s="641">
        <f t="shared" si="13"/>
        <v>0</v>
      </c>
      <c r="X22" s="641">
        <f t="shared" si="13"/>
        <v>21000</v>
      </c>
      <c r="Y22" s="641">
        <f t="shared" si="13"/>
        <v>163300.92719000002</v>
      </c>
      <c r="Z22" s="641">
        <f t="shared" si="13"/>
        <v>93642.280264999848</v>
      </c>
      <c r="AA22" s="641">
        <f t="shared" si="13"/>
        <v>208064.67373500013</v>
      </c>
      <c r="AB22" s="642"/>
      <c r="AF22" s="798"/>
      <c r="AG22" s="798">
        <f t="shared" si="6"/>
        <v>278443.20745499985</v>
      </c>
    </row>
    <row r="23" spans="1:33" s="412" customFormat="1" ht="69">
      <c r="A23" s="636">
        <f>MAX(A21:B22)+1</f>
        <v>7</v>
      </c>
      <c r="B23" s="643" t="s">
        <v>1598</v>
      </c>
      <c r="C23" s="644" t="s">
        <v>1599</v>
      </c>
      <c r="D23" s="645" t="s">
        <v>47</v>
      </c>
      <c r="E23" s="644" t="s">
        <v>1600</v>
      </c>
      <c r="F23" s="636" t="s">
        <v>1601</v>
      </c>
      <c r="G23" s="647"/>
      <c r="H23" s="645" t="s">
        <v>293</v>
      </c>
      <c r="I23" s="753" t="s">
        <v>1602</v>
      </c>
      <c r="J23" s="654">
        <v>295007</v>
      </c>
      <c r="K23" s="654">
        <v>269100</v>
      </c>
      <c r="L23" s="650">
        <f>J23-K23</f>
        <v>25907</v>
      </c>
      <c r="M23" s="650">
        <f>SUM(N23:O23)</f>
        <v>269600</v>
      </c>
      <c r="N23" s="650">
        <v>269100</v>
      </c>
      <c r="O23" s="650">
        <v>500</v>
      </c>
      <c r="P23" s="650">
        <f t="shared" si="11"/>
        <v>151521.14026499985</v>
      </c>
      <c r="Q23" s="650">
        <v>151021.14026499985</v>
      </c>
      <c r="R23" s="650">
        <v>500</v>
      </c>
      <c r="S23" s="651">
        <f t="shared" si="12"/>
        <v>143485.85973500015</v>
      </c>
      <c r="T23" s="651">
        <v>118078.85973500015</v>
      </c>
      <c r="U23" s="651">
        <v>25407</v>
      </c>
      <c r="V23" s="651"/>
      <c r="W23" s="651"/>
      <c r="X23" s="651">
        <v>13000</v>
      </c>
      <c r="Y23" s="651">
        <v>108199.20994</v>
      </c>
      <c r="Z23" s="651">
        <v>27426.094264999847</v>
      </c>
      <c r="AA23" s="651">
        <v>118078.85973500015</v>
      </c>
      <c r="AB23" s="652"/>
      <c r="AF23" s="798">
        <f t="shared" si="7"/>
        <v>120474.69579500015</v>
      </c>
      <c r="AG23" s="798">
        <f t="shared" si="6"/>
        <v>148625.30420499985</v>
      </c>
    </row>
    <row r="24" spans="1:33" s="412" customFormat="1" ht="45.75" customHeight="1">
      <c r="A24" s="636">
        <f>MAX(A22:B23)+1</f>
        <v>8</v>
      </c>
      <c r="B24" s="643" t="s">
        <v>1603</v>
      </c>
      <c r="C24" s="644" t="s">
        <v>1604</v>
      </c>
      <c r="D24" s="645" t="s">
        <v>47</v>
      </c>
      <c r="E24" s="644" t="s">
        <v>1605</v>
      </c>
      <c r="F24" s="636" t="s">
        <v>1606</v>
      </c>
      <c r="G24" s="647"/>
      <c r="H24" s="645" t="s">
        <v>303</v>
      </c>
      <c r="I24" s="753" t="s">
        <v>1607</v>
      </c>
      <c r="J24" s="654">
        <v>155000</v>
      </c>
      <c r="K24" s="654">
        <v>100000</v>
      </c>
      <c r="L24" s="650">
        <v>55000</v>
      </c>
      <c r="M24" s="650">
        <f t="shared" ref="M24:M25" si="14">SUM(N24:O24)</f>
        <v>155000</v>
      </c>
      <c r="N24" s="650">
        <v>100000</v>
      </c>
      <c r="O24" s="650">
        <v>55000</v>
      </c>
      <c r="P24" s="650">
        <f t="shared" si="11"/>
        <v>70014.186000000002</v>
      </c>
      <c r="Q24" s="650">
        <v>60014.186000000002</v>
      </c>
      <c r="R24" s="650">
        <v>10000</v>
      </c>
      <c r="S24" s="651">
        <f t="shared" si="12"/>
        <v>84985.813999999998</v>
      </c>
      <c r="T24" s="651">
        <v>39985.813999999998</v>
      </c>
      <c r="U24" s="651">
        <v>45000</v>
      </c>
      <c r="V24" s="651"/>
      <c r="W24" s="651"/>
      <c r="X24" s="651"/>
      <c r="Y24" s="651">
        <v>5101.7172499999997</v>
      </c>
      <c r="Z24" s="651">
        <v>47014.186000000002</v>
      </c>
      <c r="AA24" s="651">
        <v>39985.813999999998</v>
      </c>
      <c r="AB24" s="636"/>
      <c r="AF24" s="798">
        <f>N24-AG24</f>
        <v>47884.096749999997</v>
      </c>
      <c r="AG24" s="798">
        <f t="shared" si="6"/>
        <v>52115.903250000003</v>
      </c>
    </row>
    <row r="25" spans="1:33" s="412" customFormat="1" ht="40.65" customHeight="1">
      <c r="A25" s="636">
        <f>MAX(A23:B24)+1</f>
        <v>9</v>
      </c>
      <c r="B25" s="643" t="s">
        <v>1608</v>
      </c>
      <c r="C25" s="644" t="s">
        <v>1609</v>
      </c>
      <c r="D25" s="645" t="s">
        <v>47</v>
      </c>
      <c r="E25" s="644" t="s">
        <v>1510</v>
      </c>
      <c r="F25" s="636"/>
      <c r="G25" s="647"/>
      <c r="H25" s="645" t="s">
        <v>293</v>
      </c>
      <c r="I25" s="753" t="s">
        <v>1610</v>
      </c>
      <c r="J25" s="654">
        <v>183500</v>
      </c>
      <c r="K25" s="654">
        <v>180000</v>
      </c>
      <c r="L25" s="650">
        <v>3500</v>
      </c>
      <c r="M25" s="650">
        <f t="shared" si="14"/>
        <v>77702</v>
      </c>
      <c r="N25" s="650">
        <v>77702</v>
      </c>
      <c r="O25" s="650"/>
      <c r="P25" s="650">
        <f t="shared" si="11"/>
        <v>77202</v>
      </c>
      <c r="Q25" s="650">
        <v>77202</v>
      </c>
      <c r="R25" s="650"/>
      <c r="S25" s="651">
        <f>T25+U25</f>
        <v>91398</v>
      </c>
      <c r="T25" s="651">
        <v>91398</v>
      </c>
      <c r="U25" s="651"/>
      <c r="V25" s="651">
        <v>500</v>
      </c>
      <c r="W25" s="651"/>
      <c r="X25" s="651">
        <v>8000</v>
      </c>
      <c r="Y25" s="651">
        <v>50000</v>
      </c>
      <c r="Z25" s="651">
        <v>19202</v>
      </c>
      <c r="AA25" s="651">
        <v>50000</v>
      </c>
      <c r="AB25" s="652"/>
      <c r="AF25" s="798">
        <f t="shared" ref="AF25:AF27" si="15">N25-AG25</f>
        <v>0</v>
      </c>
      <c r="AG25" s="798">
        <f t="shared" si="6"/>
        <v>77702</v>
      </c>
    </row>
    <row r="26" spans="1:33" s="412" customFormat="1" ht="29.25" customHeight="1">
      <c r="A26" s="639" t="s">
        <v>252</v>
      </c>
      <c r="B26" s="639" t="s">
        <v>1330</v>
      </c>
      <c r="C26" s="640"/>
      <c r="D26" s="640"/>
      <c r="E26" s="640"/>
      <c r="F26" s="640"/>
      <c r="G26" s="640"/>
      <c r="H26" s="640"/>
      <c r="I26" s="750"/>
      <c r="J26" s="641">
        <f>J27</f>
        <v>185000</v>
      </c>
      <c r="K26" s="641">
        <f t="shared" ref="K26:AA26" si="16">K27</f>
        <v>166500</v>
      </c>
      <c r="L26" s="641">
        <f t="shared" si="16"/>
        <v>0</v>
      </c>
      <c r="M26" s="641"/>
      <c r="N26" s="641"/>
      <c r="O26" s="641"/>
      <c r="P26" s="641">
        <f t="shared" si="16"/>
        <v>99999.889494000003</v>
      </c>
      <c r="Q26" s="641">
        <f t="shared" si="16"/>
        <v>99999.889494000003</v>
      </c>
      <c r="R26" s="641">
        <f t="shared" si="16"/>
        <v>0</v>
      </c>
      <c r="S26" s="641">
        <f t="shared" si="16"/>
        <v>85000.110505999997</v>
      </c>
      <c r="T26" s="641">
        <f t="shared" si="16"/>
        <v>66500.110505999997</v>
      </c>
      <c r="U26" s="641">
        <f t="shared" si="16"/>
        <v>18500</v>
      </c>
      <c r="V26" s="641">
        <f t="shared" si="16"/>
        <v>500</v>
      </c>
      <c r="W26" s="641">
        <f t="shared" si="16"/>
        <v>0</v>
      </c>
      <c r="X26" s="641">
        <f t="shared" si="16"/>
        <v>43589.675999999999</v>
      </c>
      <c r="Y26" s="641">
        <f t="shared" si="16"/>
        <v>30362.889493999999</v>
      </c>
      <c r="Z26" s="641">
        <f t="shared" si="16"/>
        <v>25547.324000000022</v>
      </c>
      <c r="AA26" s="641">
        <f t="shared" si="16"/>
        <v>66500.110505999997</v>
      </c>
      <c r="AB26" s="642"/>
      <c r="AF26" s="798"/>
      <c r="AG26" s="798">
        <f t="shared" si="6"/>
        <v>99999.889494000017</v>
      </c>
    </row>
    <row r="27" spans="1:33" s="412" customFormat="1" ht="46.5" customHeight="1">
      <c r="A27" s="655">
        <v>10</v>
      </c>
      <c r="B27" s="656" t="s">
        <v>1611</v>
      </c>
      <c r="C27" s="657" t="s">
        <v>1612</v>
      </c>
      <c r="D27" s="658" t="s">
        <v>47</v>
      </c>
      <c r="E27" s="657" t="s">
        <v>311</v>
      </c>
      <c r="F27" s="655"/>
      <c r="G27" s="659"/>
      <c r="H27" s="658" t="s">
        <v>293</v>
      </c>
      <c r="I27" s="754" t="s">
        <v>1613</v>
      </c>
      <c r="J27" s="660">
        <v>185000</v>
      </c>
      <c r="K27" s="660">
        <v>166500</v>
      </c>
      <c r="L27" s="661"/>
      <c r="M27" s="661">
        <f t="shared" ref="M27" si="17">SUM(N27:O27)</f>
        <v>100000</v>
      </c>
      <c r="N27" s="661">
        <v>100000</v>
      </c>
      <c r="O27" s="661"/>
      <c r="P27" s="661">
        <f t="shared" si="11"/>
        <v>99999.889494000003</v>
      </c>
      <c r="Q27" s="661">
        <v>99999.889494000003</v>
      </c>
      <c r="R27" s="661"/>
      <c r="S27" s="662">
        <f t="shared" si="12"/>
        <v>85000.110505999997</v>
      </c>
      <c r="T27" s="662">
        <v>66500.110505999997</v>
      </c>
      <c r="U27" s="662">
        <v>18500</v>
      </c>
      <c r="V27" s="661">
        <v>500</v>
      </c>
      <c r="W27" s="662"/>
      <c r="X27" s="662">
        <v>43589.675999999999</v>
      </c>
      <c r="Y27" s="662">
        <v>30362.889493999999</v>
      </c>
      <c r="Z27" s="662">
        <v>25547.324000000022</v>
      </c>
      <c r="AA27" s="662">
        <v>66500.110505999997</v>
      </c>
      <c r="AB27" s="663"/>
      <c r="AF27" s="798">
        <f t="shared" si="15"/>
        <v>0.11050599998270627</v>
      </c>
      <c r="AG27" s="798">
        <f t="shared" si="6"/>
        <v>99999.889494000017</v>
      </c>
    </row>
  </sheetData>
  <mergeCells count="43">
    <mergeCell ref="A1:AB1"/>
    <mergeCell ref="A2:AB2"/>
    <mergeCell ref="S6:AB6"/>
    <mergeCell ref="A7:A10"/>
    <mergeCell ref="B7:B10"/>
    <mergeCell ref="C7:C10"/>
    <mergeCell ref="D7:D10"/>
    <mergeCell ref="E7:E10"/>
    <mergeCell ref="F7:F10"/>
    <mergeCell ref="G7:G10"/>
    <mergeCell ref="A5:AB5"/>
    <mergeCell ref="Q8:R8"/>
    <mergeCell ref="AB7:AB10"/>
    <mergeCell ref="H7:H10"/>
    <mergeCell ref="I7:L7"/>
    <mergeCell ref="P7:R7"/>
    <mergeCell ref="A3:AB3"/>
    <mergeCell ref="A4:AB4"/>
    <mergeCell ref="I8:I10"/>
    <mergeCell ref="J8:J10"/>
    <mergeCell ref="K8:L8"/>
    <mergeCell ref="P8:P10"/>
    <mergeCell ref="S7:U7"/>
    <mergeCell ref="AA7:AA10"/>
    <mergeCell ref="S8:S10"/>
    <mergeCell ref="T8:U8"/>
    <mergeCell ref="K9:K10"/>
    <mergeCell ref="L9:L10"/>
    <mergeCell ref="Q9:Q10"/>
    <mergeCell ref="R9:R10"/>
    <mergeCell ref="T9:T10"/>
    <mergeCell ref="U9:U10"/>
    <mergeCell ref="M7:O7"/>
    <mergeCell ref="M8:M10"/>
    <mergeCell ref="N8:O8"/>
    <mergeCell ref="N9:N10"/>
    <mergeCell ref="O9:O10"/>
    <mergeCell ref="V8:V10"/>
    <mergeCell ref="W8:W10"/>
    <mergeCell ref="X8:X10"/>
    <mergeCell ref="Y8:Y10"/>
    <mergeCell ref="V7:Z7"/>
    <mergeCell ref="Z8:Z10"/>
  </mergeCells>
  <dataValidations disablePrompts="1" count="1">
    <dataValidation allowBlank="1" showInputMessage="1" showErrorMessage="1" prompt="QĐ điều chỉnh 570-05/9/24" sqref="N15"/>
  </dataValidations>
  <pageMargins left="0.4" right="0.35" top="0.74803149606299213" bottom="0.74803149606299213" header="0.31496062992125984" footer="0.31496062992125984"/>
  <pageSetup paperSize="9" scale="70" fitToHeight="0" orientation="landscape" r:id="rId1"/>
  <headerFooter>
    <oddFooter>&amp;R&amp;P/&amp;N</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4"/>
  <sheetViews>
    <sheetView zoomScale="85" zoomScaleNormal="85" workbookViewId="0">
      <selection activeCell="Q15" sqref="Q15"/>
    </sheetView>
  </sheetViews>
  <sheetFormatPr defaultColWidth="8.88671875" defaultRowHeight="14.4" outlineLevelRow="1" outlineLevelCol="1"/>
  <cols>
    <col min="1" max="1" width="5.44140625" style="800" customWidth="1"/>
    <col min="2" max="2" width="40.44140625" style="411" customWidth="1"/>
    <col min="3" max="3" width="13.5546875" style="411" customWidth="1"/>
    <col min="4" max="4" width="0.109375" style="411" hidden="1" customWidth="1"/>
    <col min="5" max="5" width="7.5546875" style="411" customWidth="1"/>
    <col min="6" max="6" width="19.109375" style="850" customWidth="1"/>
    <col min="7" max="7" width="12.5546875" style="411" hidden="1" customWidth="1" outlineLevel="1"/>
    <col min="8" max="8" width="26.5546875" style="850" hidden="1" customWidth="1" outlineLevel="1"/>
    <col min="9" max="9" width="10.6640625" style="411" customWidth="1" collapsed="1"/>
    <col min="10" max="10" width="9.6640625" style="411" hidden="1" customWidth="1"/>
    <col min="11" max="13" width="11" style="411" customWidth="1"/>
    <col min="14" max="16" width="10.6640625" style="411" hidden="1" customWidth="1"/>
    <col min="17" max="22" width="11.109375" style="411" customWidth="1"/>
    <col min="23" max="23" width="11.109375" style="411" hidden="1" customWidth="1"/>
    <col min="24" max="24" width="19.44140625" style="850" customWidth="1"/>
    <col min="25" max="26" width="19.44140625" style="850" hidden="1" customWidth="1"/>
    <col min="27" max="27" width="12.109375" style="411" hidden="1" customWidth="1"/>
    <col min="28" max="28" width="14.109375" style="411" hidden="1" customWidth="1"/>
    <col min="29" max="29" width="10.5546875" style="411" hidden="1" customWidth="1"/>
    <col min="30" max="31" width="12" style="411" hidden="1" customWidth="1"/>
    <col min="32" max="32" width="0" style="411" hidden="1" customWidth="1"/>
    <col min="33" max="33" width="13" style="411" hidden="1" customWidth="1"/>
    <col min="34" max="16384" width="8.88671875" style="411"/>
  </cols>
  <sheetData>
    <row r="1" spans="1:36" ht="19.95" customHeight="1">
      <c r="A1" s="906" t="s">
        <v>1767</v>
      </c>
      <c r="B1" s="906"/>
      <c r="C1" s="906"/>
      <c r="D1" s="906"/>
      <c r="E1" s="906"/>
      <c r="F1" s="906"/>
      <c r="G1" s="906"/>
      <c r="H1" s="906"/>
      <c r="I1" s="906"/>
      <c r="J1" s="906"/>
      <c r="K1" s="906"/>
      <c r="L1" s="906"/>
      <c r="M1" s="906"/>
      <c r="N1" s="906"/>
      <c r="O1" s="906"/>
      <c r="P1" s="906"/>
      <c r="Q1" s="906"/>
      <c r="R1" s="906"/>
      <c r="S1" s="906"/>
      <c r="T1" s="906"/>
      <c r="U1" s="906"/>
      <c r="V1" s="906"/>
      <c r="W1" s="906"/>
      <c r="X1" s="906"/>
      <c r="Y1" s="757"/>
      <c r="Z1" s="757"/>
    </row>
    <row r="2" spans="1:36" ht="19.2" customHeight="1">
      <c r="A2" s="906" t="s">
        <v>1774</v>
      </c>
      <c r="B2" s="934"/>
      <c r="C2" s="934"/>
      <c r="D2" s="934"/>
      <c r="E2" s="934"/>
      <c r="F2" s="934"/>
      <c r="G2" s="934"/>
      <c r="H2" s="934"/>
      <c r="I2" s="934"/>
      <c r="J2" s="934"/>
      <c r="K2" s="934"/>
      <c r="L2" s="934"/>
      <c r="M2" s="934"/>
      <c r="N2" s="934"/>
      <c r="O2" s="934"/>
      <c r="P2" s="934"/>
      <c r="Q2" s="934"/>
      <c r="R2" s="934"/>
      <c r="S2" s="934"/>
      <c r="T2" s="934"/>
      <c r="U2" s="934"/>
      <c r="V2" s="934"/>
      <c r="W2" s="934"/>
      <c r="X2" s="934"/>
      <c r="Y2" s="761"/>
      <c r="Z2" s="761"/>
    </row>
    <row r="3" spans="1:36" ht="19.2" customHeight="1">
      <c r="A3" s="906" t="s">
        <v>1771</v>
      </c>
      <c r="B3" s="906"/>
      <c r="C3" s="906"/>
      <c r="D3" s="906"/>
      <c r="E3" s="906"/>
      <c r="F3" s="906"/>
      <c r="G3" s="906"/>
      <c r="H3" s="906"/>
      <c r="I3" s="906"/>
      <c r="J3" s="906"/>
      <c r="K3" s="906"/>
      <c r="L3" s="906"/>
      <c r="M3" s="906"/>
      <c r="N3" s="906"/>
      <c r="O3" s="906"/>
      <c r="P3" s="906"/>
      <c r="Q3" s="906"/>
      <c r="R3" s="906"/>
      <c r="S3" s="906"/>
      <c r="T3" s="906"/>
      <c r="U3" s="906"/>
      <c r="V3" s="906"/>
      <c r="W3" s="906"/>
      <c r="X3" s="906"/>
      <c r="Y3" s="757"/>
      <c r="Z3" s="757"/>
    </row>
    <row r="4" spans="1:36" ht="19.2" customHeight="1">
      <c r="A4" s="923" t="str">
        <f>PL1.KH25!A3</f>
        <v>(Kèm theo Nghị quyết số 24/NQ-HĐND  ngày 22 tháng 8 năm 2025 của HĐND tỉnh Quảng Ngãi)</v>
      </c>
      <c r="B4" s="923"/>
      <c r="C4" s="923"/>
      <c r="D4" s="923"/>
      <c r="E4" s="923"/>
      <c r="F4" s="923"/>
      <c r="G4" s="923"/>
      <c r="H4" s="923"/>
      <c r="I4" s="923"/>
      <c r="J4" s="923"/>
      <c r="K4" s="923"/>
      <c r="L4" s="923"/>
      <c r="M4" s="923"/>
      <c r="N4" s="923"/>
      <c r="O4" s="923"/>
      <c r="P4" s="923"/>
      <c r="Q4" s="923"/>
      <c r="R4" s="923"/>
      <c r="S4" s="923"/>
      <c r="T4" s="923"/>
      <c r="U4" s="923"/>
      <c r="V4" s="923"/>
      <c r="W4" s="923"/>
      <c r="X4" s="923"/>
      <c r="Y4" s="759"/>
      <c r="Z4" s="759"/>
    </row>
    <row r="5" spans="1:36">
      <c r="A5" s="39"/>
      <c r="B5" s="24"/>
      <c r="C5" s="24"/>
      <c r="D5" s="24"/>
      <c r="E5" s="24"/>
      <c r="F5" s="23"/>
      <c r="G5" s="23"/>
      <c r="H5" s="23"/>
      <c r="I5" s="23"/>
      <c r="J5" s="25"/>
      <c r="K5" s="23"/>
      <c r="L5" s="758"/>
      <c r="M5" s="758"/>
      <c r="N5" s="758"/>
      <c r="O5" s="758"/>
      <c r="P5" s="758"/>
      <c r="Q5" s="758"/>
      <c r="R5" s="758"/>
      <c r="S5" s="758"/>
      <c r="T5" s="758"/>
      <c r="U5" s="758"/>
      <c r="V5" s="758"/>
      <c r="W5" s="758"/>
      <c r="X5" s="388"/>
      <c r="Y5" s="39"/>
      <c r="Z5" s="39"/>
    </row>
    <row r="6" spans="1:36" ht="42.75" customHeight="1">
      <c r="A6" s="905" t="s">
        <v>403</v>
      </c>
      <c r="B6" s="905" t="s">
        <v>404</v>
      </c>
      <c r="C6" s="905" t="s">
        <v>421</v>
      </c>
      <c r="D6" s="905" t="s">
        <v>4</v>
      </c>
      <c r="E6" s="905" t="s">
        <v>422</v>
      </c>
      <c r="F6" s="905" t="s">
        <v>423</v>
      </c>
      <c r="G6" s="905" t="s">
        <v>424</v>
      </c>
      <c r="H6" s="905" t="s">
        <v>1584</v>
      </c>
      <c r="I6" s="905" t="s">
        <v>405</v>
      </c>
      <c r="J6" s="905" t="s">
        <v>427</v>
      </c>
      <c r="K6" s="905"/>
      <c r="L6" s="905"/>
      <c r="M6" s="905"/>
      <c r="N6" s="905" t="s">
        <v>1728</v>
      </c>
      <c r="O6" s="905"/>
      <c r="P6" s="905"/>
      <c r="Q6" s="905" t="s">
        <v>1729</v>
      </c>
      <c r="R6" s="905"/>
      <c r="S6" s="905"/>
      <c r="T6" s="905" t="s">
        <v>1755</v>
      </c>
      <c r="U6" s="905" t="s">
        <v>1754</v>
      </c>
      <c r="V6" s="905"/>
      <c r="W6" s="905"/>
      <c r="X6" s="900" t="s">
        <v>16</v>
      </c>
      <c r="Y6" s="389"/>
      <c r="Z6" s="389"/>
      <c r="AB6" s="848" t="s">
        <v>431</v>
      </c>
      <c r="AD6" s="843">
        <f>AB9*2</f>
        <v>12286400</v>
      </c>
      <c r="AG6" s="411">
        <f>2000*AC7</f>
        <v>750.55345748144282</v>
      </c>
    </row>
    <row r="7" spans="1:36">
      <c r="A7" s="905"/>
      <c r="B7" s="905"/>
      <c r="C7" s="905"/>
      <c r="D7" s="905"/>
      <c r="E7" s="905"/>
      <c r="F7" s="905"/>
      <c r="G7" s="905"/>
      <c r="H7" s="905"/>
      <c r="I7" s="905"/>
      <c r="J7" s="905" t="s">
        <v>410</v>
      </c>
      <c r="K7" s="905" t="s">
        <v>8</v>
      </c>
      <c r="L7" s="905" t="s">
        <v>15</v>
      </c>
      <c r="M7" s="905"/>
      <c r="N7" s="905" t="s">
        <v>19</v>
      </c>
      <c r="O7" s="905" t="s">
        <v>15</v>
      </c>
      <c r="P7" s="905"/>
      <c r="Q7" s="905" t="s">
        <v>19</v>
      </c>
      <c r="R7" s="905" t="s">
        <v>15</v>
      </c>
      <c r="S7" s="905"/>
      <c r="T7" s="905"/>
      <c r="U7" s="905" t="s">
        <v>19</v>
      </c>
      <c r="V7" s="905" t="s">
        <v>15</v>
      </c>
      <c r="W7" s="905"/>
      <c r="X7" s="900"/>
      <c r="Y7" s="389"/>
      <c r="Z7" s="389"/>
      <c r="AA7" s="411" t="s">
        <v>1730</v>
      </c>
      <c r="AB7" s="789">
        <v>2305400</v>
      </c>
      <c r="AC7" s="851">
        <f>AB7/AB9</f>
        <v>0.37527672874072143</v>
      </c>
      <c r="AD7" s="843">
        <f>AD6-410000-L19</f>
        <v>9876400</v>
      </c>
      <c r="AE7" s="843">
        <f>AC7*AD7</f>
        <v>3706383.0837348611</v>
      </c>
      <c r="AG7" s="411">
        <f>2000*AC8</f>
        <v>1249.446542518557</v>
      </c>
    </row>
    <row r="8" spans="1:36">
      <c r="A8" s="905"/>
      <c r="B8" s="905"/>
      <c r="C8" s="905"/>
      <c r="D8" s="905"/>
      <c r="E8" s="905"/>
      <c r="F8" s="905"/>
      <c r="G8" s="905"/>
      <c r="H8" s="905"/>
      <c r="I8" s="905"/>
      <c r="J8" s="905"/>
      <c r="K8" s="905"/>
      <c r="L8" s="905" t="s">
        <v>21</v>
      </c>
      <c r="M8" s="905" t="s">
        <v>433</v>
      </c>
      <c r="N8" s="905"/>
      <c r="O8" s="905" t="s">
        <v>21</v>
      </c>
      <c r="P8" s="905" t="s">
        <v>433</v>
      </c>
      <c r="Q8" s="905"/>
      <c r="R8" s="905" t="s">
        <v>21</v>
      </c>
      <c r="S8" s="905" t="s">
        <v>433</v>
      </c>
      <c r="T8" s="905"/>
      <c r="U8" s="905"/>
      <c r="V8" s="905" t="s">
        <v>21</v>
      </c>
      <c r="W8" s="905" t="s">
        <v>433</v>
      </c>
      <c r="X8" s="900"/>
      <c r="Y8" s="389"/>
      <c r="Z8" s="389"/>
      <c r="AA8" s="411" t="s">
        <v>1731</v>
      </c>
      <c r="AB8" s="789">
        <v>3837800</v>
      </c>
      <c r="AC8" s="851">
        <f>AB8/AB9</f>
        <v>0.62472327125927851</v>
      </c>
      <c r="AE8" s="843">
        <f>AC8*AD7</f>
        <v>6170016.9162651384</v>
      </c>
    </row>
    <row r="9" spans="1:36">
      <c r="A9" s="905"/>
      <c r="B9" s="905"/>
      <c r="C9" s="905"/>
      <c r="D9" s="905"/>
      <c r="E9" s="905"/>
      <c r="F9" s="905"/>
      <c r="G9" s="905"/>
      <c r="H9" s="905"/>
      <c r="I9" s="905"/>
      <c r="J9" s="905"/>
      <c r="K9" s="905"/>
      <c r="L9" s="905"/>
      <c r="M9" s="905"/>
      <c r="N9" s="905"/>
      <c r="O9" s="905"/>
      <c r="P9" s="905"/>
      <c r="Q9" s="905"/>
      <c r="R9" s="905"/>
      <c r="S9" s="905"/>
      <c r="T9" s="905"/>
      <c r="U9" s="905"/>
      <c r="V9" s="905"/>
      <c r="W9" s="905"/>
      <c r="X9" s="900"/>
      <c r="Y9" s="389"/>
      <c r="Z9" s="389"/>
      <c r="AB9" s="844">
        <f>AB7+AB8</f>
        <v>6143200</v>
      </c>
    </row>
    <row r="10" spans="1:36">
      <c r="A10" s="391">
        <v>1</v>
      </c>
      <c r="B10" s="391">
        <v>2</v>
      </c>
      <c r="C10" s="257">
        <v>3</v>
      </c>
      <c r="D10" s="257">
        <v>4</v>
      </c>
      <c r="E10" s="257">
        <v>5</v>
      </c>
      <c r="F10" s="257">
        <v>6</v>
      </c>
      <c r="G10" s="257">
        <v>7</v>
      </c>
      <c r="H10" s="257">
        <v>8</v>
      </c>
      <c r="I10" s="257">
        <v>9</v>
      </c>
      <c r="J10" s="257">
        <v>7</v>
      </c>
      <c r="K10" s="257">
        <v>10</v>
      </c>
      <c r="L10" s="257">
        <v>11</v>
      </c>
      <c r="M10" s="257">
        <v>12</v>
      </c>
      <c r="N10" s="257">
        <v>13</v>
      </c>
      <c r="O10" s="257">
        <v>14</v>
      </c>
      <c r="P10" s="257">
        <v>15</v>
      </c>
      <c r="Q10" s="257">
        <v>16</v>
      </c>
      <c r="R10" s="257">
        <v>17</v>
      </c>
      <c r="S10" s="257">
        <v>18</v>
      </c>
      <c r="T10" s="257"/>
      <c r="U10" s="257"/>
      <c r="V10" s="257"/>
      <c r="W10" s="257"/>
      <c r="X10" s="257">
        <v>19</v>
      </c>
      <c r="Y10" s="392"/>
      <c r="AA10" s="397" t="s">
        <v>1732</v>
      </c>
      <c r="AB10" s="844">
        <f>AB9-R19</f>
        <v>4143200</v>
      </c>
    </row>
    <row r="11" spans="1:36" ht="24" customHeight="1">
      <c r="A11" s="852"/>
      <c r="B11" s="852" t="s">
        <v>365</v>
      </c>
      <c r="C11" s="852"/>
      <c r="D11" s="852"/>
      <c r="E11" s="852"/>
      <c r="F11" s="852"/>
      <c r="G11" s="852"/>
      <c r="H11" s="852"/>
      <c r="I11" s="852"/>
      <c r="J11" s="852"/>
      <c r="K11" s="853">
        <f>K12+K16</f>
        <v>7712500</v>
      </c>
      <c r="L11" s="853">
        <f t="shared" ref="L11:W11" si="0">L12+L16</f>
        <v>5910500</v>
      </c>
      <c r="M11" s="853">
        <f t="shared" si="0"/>
        <v>1802000</v>
      </c>
      <c r="N11" s="853">
        <f t="shared" si="0"/>
        <v>0</v>
      </c>
      <c r="O11" s="853">
        <f t="shared" si="0"/>
        <v>0</v>
      </c>
      <c r="P11" s="853">
        <f t="shared" si="0"/>
        <v>0</v>
      </c>
      <c r="Q11" s="853">
        <f t="shared" si="0"/>
        <v>6297000</v>
      </c>
      <c r="R11" s="853">
        <f t="shared" si="0"/>
        <v>5797000</v>
      </c>
      <c r="S11" s="853">
        <f t="shared" si="0"/>
        <v>500000</v>
      </c>
      <c r="T11" s="853">
        <f t="shared" si="0"/>
        <v>275500</v>
      </c>
      <c r="U11" s="853">
        <f t="shared" si="0"/>
        <v>903753</v>
      </c>
      <c r="V11" s="853">
        <f t="shared" si="0"/>
        <v>903753</v>
      </c>
      <c r="W11" s="853">
        <f t="shared" si="0"/>
        <v>0</v>
      </c>
      <c r="X11" s="854"/>
      <c r="Y11" s="395"/>
      <c r="AA11" s="412" t="s">
        <v>1730</v>
      </c>
      <c r="AB11" s="845">
        <f>AB10*AC7</f>
        <v>1554846.542518557</v>
      </c>
      <c r="AC11" s="845">
        <f>AB11+80000</f>
        <v>1634846.542518557</v>
      </c>
    </row>
    <row r="12" spans="1:36" s="397" customFormat="1" ht="33.75" customHeight="1">
      <c r="A12" s="379" t="s">
        <v>35</v>
      </c>
      <c r="B12" s="393" t="s">
        <v>1733</v>
      </c>
      <c r="C12" s="379"/>
      <c r="D12" s="379"/>
      <c r="E12" s="379"/>
      <c r="F12" s="379"/>
      <c r="G12" s="379"/>
      <c r="H12" s="379"/>
      <c r="I12" s="379"/>
      <c r="J12" s="379"/>
      <c r="K12" s="394">
        <f>K13</f>
        <v>2800000</v>
      </c>
      <c r="L12" s="394">
        <f t="shared" ref="L12:W14" si="1">L13</f>
        <v>1500000</v>
      </c>
      <c r="M12" s="394">
        <f t="shared" si="1"/>
        <v>1300000</v>
      </c>
      <c r="N12" s="394">
        <f t="shared" si="1"/>
        <v>0</v>
      </c>
      <c r="O12" s="394">
        <f t="shared" si="1"/>
        <v>0</v>
      </c>
      <c r="P12" s="394">
        <f t="shared" si="1"/>
        <v>0</v>
      </c>
      <c r="Q12" s="394">
        <f t="shared" si="1"/>
        <v>1500000</v>
      </c>
      <c r="R12" s="394">
        <f t="shared" si="1"/>
        <v>1500000</v>
      </c>
      <c r="S12" s="394">
        <f t="shared" si="1"/>
        <v>0</v>
      </c>
      <c r="T12" s="394">
        <f t="shared" si="1"/>
        <v>0</v>
      </c>
      <c r="U12" s="394">
        <f t="shared" si="1"/>
        <v>300000</v>
      </c>
      <c r="V12" s="394">
        <f t="shared" si="1"/>
        <v>300000</v>
      </c>
      <c r="W12" s="394">
        <f t="shared" si="1"/>
        <v>0</v>
      </c>
      <c r="X12" s="394"/>
      <c r="Y12" s="395"/>
      <c r="Z12" s="850"/>
      <c r="AA12" s="396"/>
    </row>
    <row r="13" spans="1:36" s="412" customFormat="1" ht="26.4" customHeight="1" collapsed="1">
      <c r="A13" s="855" t="s">
        <v>39</v>
      </c>
      <c r="B13" s="398" t="s">
        <v>1734</v>
      </c>
      <c r="C13" s="856"/>
      <c r="D13" s="856"/>
      <c r="E13" s="856"/>
      <c r="F13" s="856"/>
      <c r="G13" s="856"/>
      <c r="H13" s="856"/>
      <c r="I13" s="856"/>
      <c r="J13" s="857"/>
      <c r="K13" s="399">
        <f>K14</f>
        <v>2800000</v>
      </c>
      <c r="L13" s="399">
        <f t="shared" si="1"/>
        <v>1500000</v>
      </c>
      <c r="M13" s="399">
        <f t="shared" si="1"/>
        <v>1300000</v>
      </c>
      <c r="N13" s="399">
        <f t="shared" si="1"/>
        <v>0</v>
      </c>
      <c r="O13" s="399">
        <f t="shared" si="1"/>
        <v>0</v>
      </c>
      <c r="P13" s="399">
        <f t="shared" si="1"/>
        <v>0</v>
      </c>
      <c r="Q13" s="399">
        <f t="shared" si="1"/>
        <v>1500000</v>
      </c>
      <c r="R13" s="399">
        <f t="shared" si="1"/>
        <v>1500000</v>
      </c>
      <c r="S13" s="399">
        <f t="shared" si="1"/>
        <v>0</v>
      </c>
      <c r="T13" s="399">
        <f t="shared" si="1"/>
        <v>0</v>
      </c>
      <c r="U13" s="399">
        <f t="shared" si="1"/>
        <v>300000</v>
      </c>
      <c r="V13" s="399">
        <f t="shared" si="1"/>
        <v>300000</v>
      </c>
      <c r="W13" s="399">
        <f t="shared" si="1"/>
        <v>0</v>
      </c>
      <c r="X13" s="856"/>
      <c r="Y13" s="858"/>
      <c r="Z13" s="850"/>
    </row>
    <row r="14" spans="1:36" s="412" customFormat="1" ht="22.65" customHeight="1">
      <c r="A14" s="400" t="s">
        <v>441</v>
      </c>
      <c r="B14" s="401" t="s">
        <v>442</v>
      </c>
      <c r="C14" s="402"/>
      <c r="D14" s="402"/>
      <c r="E14" s="402"/>
      <c r="F14" s="402"/>
      <c r="G14" s="402"/>
      <c r="H14" s="402"/>
      <c r="I14" s="402"/>
      <c r="J14" s="402"/>
      <c r="K14" s="403">
        <f>K15</f>
        <v>2800000</v>
      </c>
      <c r="L14" s="403">
        <f t="shared" si="1"/>
        <v>1500000</v>
      </c>
      <c r="M14" s="403">
        <f t="shared" si="1"/>
        <v>1300000</v>
      </c>
      <c r="N14" s="403">
        <f t="shared" si="1"/>
        <v>0</v>
      </c>
      <c r="O14" s="403">
        <f t="shared" si="1"/>
        <v>0</v>
      </c>
      <c r="P14" s="403">
        <f t="shared" si="1"/>
        <v>0</v>
      </c>
      <c r="Q14" s="403">
        <f t="shared" si="1"/>
        <v>1500000</v>
      </c>
      <c r="R14" s="403">
        <f t="shared" si="1"/>
        <v>1500000</v>
      </c>
      <c r="S14" s="403">
        <f t="shared" si="1"/>
        <v>0</v>
      </c>
      <c r="T14" s="403">
        <f t="shared" si="1"/>
        <v>0</v>
      </c>
      <c r="U14" s="403">
        <f t="shared" si="1"/>
        <v>300000</v>
      </c>
      <c r="V14" s="403">
        <f t="shared" si="1"/>
        <v>300000</v>
      </c>
      <c r="W14" s="403">
        <f t="shared" si="1"/>
        <v>0</v>
      </c>
      <c r="X14" s="450"/>
      <c r="Y14" s="404"/>
      <c r="Z14" s="850"/>
    </row>
    <row r="15" spans="1:36" s="412" customFormat="1" ht="48.75" customHeight="1" outlineLevel="1">
      <c r="A15" s="9">
        <f>MAX($A$12:A14)+1</f>
        <v>1</v>
      </c>
      <c r="B15" s="376" t="s">
        <v>457</v>
      </c>
      <c r="C15" s="9" t="s">
        <v>458</v>
      </c>
      <c r="D15" s="9" t="s">
        <v>47</v>
      </c>
      <c r="E15" s="9" t="s">
        <v>47</v>
      </c>
      <c r="F15" s="9" t="s">
        <v>459</v>
      </c>
      <c r="G15" s="9" t="s">
        <v>1618</v>
      </c>
      <c r="H15" s="9" t="s">
        <v>461</v>
      </c>
      <c r="I15" s="9" t="s">
        <v>462</v>
      </c>
      <c r="J15" s="405"/>
      <c r="K15" s="405">
        <v>2800000</v>
      </c>
      <c r="L15" s="405">
        <f>K15-M15</f>
        <v>1500000</v>
      </c>
      <c r="M15" s="405">
        <v>1300000</v>
      </c>
      <c r="N15" s="405">
        <v>0</v>
      </c>
      <c r="O15" s="405">
        <v>0</v>
      </c>
      <c r="P15" s="405">
        <v>0</v>
      </c>
      <c r="Q15" s="406">
        <f>R15+S15</f>
        <v>1500000</v>
      </c>
      <c r="R15" s="406">
        <v>1500000</v>
      </c>
      <c r="S15" s="406"/>
      <c r="T15" s="406"/>
      <c r="U15" s="406">
        <v>300000</v>
      </c>
      <c r="V15" s="406">
        <v>300000</v>
      </c>
      <c r="W15" s="406"/>
      <c r="X15" s="9"/>
      <c r="Y15" s="423"/>
      <c r="Z15" s="850"/>
      <c r="AC15" s="406"/>
      <c r="AD15" s="845"/>
      <c r="AJ15" s="412">
        <v>875</v>
      </c>
    </row>
    <row r="16" spans="1:36" s="397" customFormat="1" ht="33.75" customHeight="1">
      <c r="A16" s="379" t="s">
        <v>47</v>
      </c>
      <c r="B16" s="393" t="s">
        <v>1735</v>
      </c>
      <c r="C16" s="379"/>
      <c r="D16" s="379"/>
      <c r="E16" s="379"/>
      <c r="F16" s="379"/>
      <c r="G16" s="379"/>
      <c r="H16" s="379"/>
      <c r="I16" s="379"/>
      <c r="J16" s="379"/>
      <c r="K16" s="394">
        <f>+K17</f>
        <v>4912500</v>
      </c>
      <c r="L16" s="394">
        <f t="shared" ref="L16:W16" si="2">+L17</f>
        <v>4410500</v>
      </c>
      <c r="M16" s="394">
        <f t="shared" si="2"/>
        <v>502000</v>
      </c>
      <c r="N16" s="394">
        <f t="shared" si="2"/>
        <v>0</v>
      </c>
      <c r="O16" s="394">
        <f t="shared" si="2"/>
        <v>0</v>
      </c>
      <c r="P16" s="394">
        <f t="shared" si="2"/>
        <v>0</v>
      </c>
      <c r="Q16" s="394">
        <f t="shared" si="2"/>
        <v>4797000</v>
      </c>
      <c r="R16" s="394">
        <f t="shared" si="2"/>
        <v>4297000</v>
      </c>
      <c r="S16" s="394">
        <f t="shared" si="2"/>
        <v>500000</v>
      </c>
      <c r="T16" s="394">
        <f t="shared" si="2"/>
        <v>275500</v>
      </c>
      <c r="U16" s="394">
        <f t="shared" si="2"/>
        <v>603753</v>
      </c>
      <c r="V16" s="394">
        <f t="shared" si="2"/>
        <v>603753</v>
      </c>
      <c r="W16" s="394">
        <f t="shared" si="2"/>
        <v>0</v>
      </c>
      <c r="X16" s="394"/>
      <c r="Y16" s="423">
        <f t="shared" ref="Y16:Y33" si="3">L16-R16</f>
        <v>113500</v>
      </c>
      <c r="Z16" s="850"/>
      <c r="AA16" s="396">
        <f>R16/5</f>
        <v>859400</v>
      </c>
    </row>
    <row r="17" spans="1:33" s="412" customFormat="1" ht="26.4" customHeight="1">
      <c r="A17" s="855" t="s">
        <v>124</v>
      </c>
      <c r="B17" s="451" t="s">
        <v>1734</v>
      </c>
      <c r="C17" s="859"/>
      <c r="D17" s="859"/>
      <c r="E17" s="859"/>
      <c r="F17" s="860"/>
      <c r="G17" s="859"/>
      <c r="H17" s="860"/>
      <c r="I17" s="859"/>
      <c r="J17" s="859"/>
      <c r="K17" s="399">
        <f t="shared" ref="K17:W17" si="4">K18+K23+K26+K28+K30+K32</f>
        <v>4912500</v>
      </c>
      <c r="L17" s="399">
        <f t="shared" si="4"/>
        <v>4410500</v>
      </c>
      <c r="M17" s="399">
        <f t="shared" si="4"/>
        <v>502000</v>
      </c>
      <c r="N17" s="399">
        <f t="shared" si="4"/>
        <v>0</v>
      </c>
      <c r="O17" s="399">
        <f t="shared" si="4"/>
        <v>0</v>
      </c>
      <c r="P17" s="399">
        <f t="shared" si="4"/>
        <v>0</v>
      </c>
      <c r="Q17" s="399">
        <f t="shared" si="4"/>
        <v>4797000</v>
      </c>
      <c r="R17" s="399">
        <f t="shared" si="4"/>
        <v>4297000</v>
      </c>
      <c r="S17" s="399">
        <f t="shared" si="4"/>
        <v>500000</v>
      </c>
      <c r="T17" s="399">
        <f t="shared" si="4"/>
        <v>275500</v>
      </c>
      <c r="U17" s="399">
        <f t="shared" si="4"/>
        <v>603753</v>
      </c>
      <c r="V17" s="399">
        <f t="shared" si="4"/>
        <v>603753</v>
      </c>
      <c r="W17" s="399">
        <f t="shared" si="4"/>
        <v>0</v>
      </c>
      <c r="X17" s="399"/>
      <c r="Y17" s="423">
        <f t="shared" si="3"/>
        <v>113500</v>
      </c>
      <c r="Z17" s="850"/>
      <c r="AB17" s="409" t="e">
        <f>S20+#REF!+S24+S27+#REF!+#REF!+#REF!+S31</f>
        <v>#REF!</v>
      </c>
      <c r="AC17" s="409" t="e">
        <f>R20+#REF!+R24+R27+#REF!+#REF!+#REF!+R31</f>
        <v>#REF!</v>
      </c>
      <c r="AD17" s="861" t="e">
        <f>K20+#REF!+#REF!+K24+K27+#REF!+#REF!</f>
        <v>#REF!</v>
      </c>
      <c r="AE17" s="409" t="e">
        <f>L20+#REF!+L24+L27+#REF!+#REF!+L31</f>
        <v>#REF!</v>
      </c>
      <c r="AF17" s="412" t="e">
        <f>100-#REF!</f>
        <v>#REF!</v>
      </c>
      <c r="AG17" s="861" t="e">
        <f>AF17*AD19/100</f>
        <v>#REF!</v>
      </c>
    </row>
    <row r="18" spans="1:33" s="412" customFormat="1" ht="19.5" customHeight="1">
      <c r="A18" s="400" t="s">
        <v>441</v>
      </c>
      <c r="B18" s="452" t="s">
        <v>442</v>
      </c>
      <c r="C18" s="402"/>
      <c r="D18" s="402"/>
      <c r="E18" s="402"/>
      <c r="F18" s="402"/>
      <c r="G18" s="402"/>
      <c r="H18" s="402"/>
      <c r="I18" s="402"/>
      <c r="J18" s="402"/>
      <c r="K18" s="403">
        <f t="shared" ref="K18:W18" si="5">SUM(K19:K22)</f>
        <v>3457000</v>
      </c>
      <c r="L18" s="403">
        <f t="shared" si="5"/>
        <v>3057000</v>
      </c>
      <c r="M18" s="403">
        <f t="shared" si="5"/>
        <v>400000</v>
      </c>
      <c r="N18" s="403">
        <f t="shared" si="5"/>
        <v>0</v>
      </c>
      <c r="O18" s="403">
        <f t="shared" si="5"/>
        <v>0</v>
      </c>
      <c r="P18" s="403">
        <f t="shared" si="5"/>
        <v>0</v>
      </c>
      <c r="Q18" s="403">
        <f t="shared" si="5"/>
        <v>3457000</v>
      </c>
      <c r="R18" s="403">
        <f t="shared" si="5"/>
        <v>3057000</v>
      </c>
      <c r="S18" s="403">
        <f t="shared" si="5"/>
        <v>400000</v>
      </c>
      <c r="T18" s="403">
        <f t="shared" si="5"/>
        <v>211500</v>
      </c>
      <c r="U18" s="403">
        <f t="shared" si="5"/>
        <v>363000</v>
      </c>
      <c r="V18" s="403">
        <f t="shared" si="5"/>
        <v>363000</v>
      </c>
      <c r="W18" s="403">
        <f t="shared" si="5"/>
        <v>0</v>
      </c>
      <c r="X18" s="450"/>
      <c r="Y18" s="423">
        <f t="shared" si="3"/>
        <v>0</v>
      </c>
      <c r="Z18" s="850"/>
      <c r="AB18" s="861" t="e">
        <f>#REF!-AB17</f>
        <v>#REF!</v>
      </c>
      <c r="AC18" s="845" t="e">
        <f>AC11-AC17</f>
        <v>#REF!</v>
      </c>
      <c r="AE18" s="408" t="e">
        <f>AE7-AE17</f>
        <v>#REF!</v>
      </c>
    </row>
    <row r="19" spans="1:33" ht="40.200000000000003" customHeight="1" outlineLevel="1">
      <c r="A19" s="369">
        <f>MAX(A$17:$A18)+1</f>
        <v>1</v>
      </c>
      <c r="B19" s="365" t="s">
        <v>443</v>
      </c>
      <c r="C19" s="9" t="s">
        <v>246</v>
      </c>
      <c r="D19" s="9" t="s">
        <v>47</v>
      </c>
      <c r="E19" s="9" t="s">
        <v>47</v>
      </c>
      <c r="F19" s="9" t="s">
        <v>444</v>
      </c>
      <c r="G19" s="9" t="s">
        <v>445</v>
      </c>
      <c r="H19" s="9" t="s">
        <v>446</v>
      </c>
      <c r="I19" s="9" t="s">
        <v>416</v>
      </c>
      <c r="J19" s="9"/>
      <c r="K19" s="408">
        <v>2350000</v>
      </c>
      <c r="L19" s="408">
        <v>2000000</v>
      </c>
      <c r="M19" s="406">
        <v>350000</v>
      </c>
      <c r="N19" s="408"/>
      <c r="O19" s="410"/>
      <c r="P19" s="408"/>
      <c r="Q19" s="408">
        <f>R19+S19</f>
        <v>2350000</v>
      </c>
      <c r="R19" s="408">
        <v>2000000</v>
      </c>
      <c r="S19" s="406">
        <v>350000</v>
      </c>
      <c r="T19" s="406">
        <v>211500</v>
      </c>
      <c r="U19" s="406">
        <v>183000</v>
      </c>
      <c r="V19" s="406">
        <v>183000</v>
      </c>
      <c r="W19" s="406"/>
      <c r="X19" s="9" t="s">
        <v>1736</v>
      </c>
      <c r="Y19" s="423">
        <f t="shared" si="3"/>
        <v>0</v>
      </c>
      <c r="AB19" s="862" t="e">
        <f>R17-#REF!</f>
        <v>#REF!</v>
      </c>
      <c r="AD19" s="408" t="e">
        <f>AE18-2115000</f>
        <v>#REF!</v>
      </c>
    </row>
    <row r="20" spans="1:33" ht="50.25" customHeight="1" outlineLevel="1">
      <c r="A20" s="369">
        <f>MAX(A$17:$A19)+1</f>
        <v>2</v>
      </c>
      <c r="B20" s="365" t="s">
        <v>463</v>
      </c>
      <c r="C20" s="9" t="s">
        <v>458</v>
      </c>
      <c r="D20" s="9" t="s">
        <v>47</v>
      </c>
      <c r="E20" s="9" t="s">
        <v>47</v>
      </c>
      <c r="F20" s="9" t="s">
        <v>464</v>
      </c>
      <c r="G20" s="9" t="s">
        <v>465</v>
      </c>
      <c r="H20" s="9" t="s">
        <v>466</v>
      </c>
      <c r="I20" s="9" t="s">
        <v>462</v>
      </c>
      <c r="J20" s="9"/>
      <c r="K20" s="408">
        <v>350000</v>
      </c>
      <c r="L20" s="408">
        <f>K20-M20</f>
        <v>300000</v>
      </c>
      <c r="M20" s="406">
        <v>50000</v>
      </c>
      <c r="N20" s="408">
        <v>0</v>
      </c>
      <c r="O20" s="366">
        <v>0</v>
      </c>
      <c r="P20" s="408">
        <v>0</v>
      </c>
      <c r="Q20" s="408">
        <f t="shared" ref="Q20:Q25" si="6">R20+S20</f>
        <v>350000</v>
      </c>
      <c r="R20" s="406">
        <v>300000</v>
      </c>
      <c r="S20" s="406">
        <v>50000</v>
      </c>
      <c r="T20" s="406"/>
      <c r="U20" s="406">
        <v>80000</v>
      </c>
      <c r="V20" s="406">
        <v>80000</v>
      </c>
      <c r="W20" s="406"/>
      <c r="X20" s="9"/>
      <c r="Y20" s="423">
        <f t="shared" si="3"/>
        <v>0</v>
      </c>
      <c r="AA20" s="411">
        <f>K20-R20-S20</f>
        <v>0</v>
      </c>
    </row>
    <row r="21" spans="1:33" ht="55.5" customHeight="1" outlineLevel="1">
      <c r="A21" s="369">
        <f>MAX(A$17:$A20)+1</f>
        <v>3</v>
      </c>
      <c r="B21" s="365" t="s">
        <v>1623</v>
      </c>
      <c r="C21" s="9" t="s">
        <v>301</v>
      </c>
      <c r="D21" s="9" t="s">
        <v>47</v>
      </c>
      <c r="E21" s="9" t="s">
        <v>47</v>
      </c>
      <c r="F21" s="9" t="s">
        <v>1576</v>
      </c>
      <c r="G21" s="9"/>
      <c r="H21" s="9" t="s">
        <v>1624</v>
      </c>
      <c r="I21" s="9" t="s">
        <v>462</v>
      </c>
      <c r="J21" s="9">
        <f>K21+L21</f>
        <v>736000</v>
      </c>
      <c r="K21" s="408">
        <v>368000</v>
      </c>
      <c r="L21" s="408">
        <v>368000</v>
      </c>
      <c r="M21" s="406"/>
      <c r="N21" s="408"/>
      <c r="O21" s="366"/>
      <c r="P21" s="408"/>
      <c r="Q21" s="408">
        <f t="shared" si="6"/>
        <v>368000</v>
      </c>
      <c r="R21" s="406">
        <v>368000</v>
      </c>
      <c r="S21" s="406"/>
      <c r="T21" s="406"/>
      <c r="U21" s="406">
        <v>50000</v>
      </c>
      <c r="V21" s="406">
        <v>50000</v>
      </c>
      <c r="W21" s="406"/>
      <c r="X21" s="9" t="s">
        <v>1737</v>
      </c>
      <c r="Y21" s="423">
        <f t="shared" si="3"/>
        <v>0</v>
      </c>
    </row>
    <row r="22" spans="1:33" ht="48.75" customHeight="1" outlineLevel="1">
      <c r="A22" s="369">
        <f>MAX(A$17:$A21)+1</f>
        <v>4</v>
      </c>
      <c r="B22" s="365" t="s">
        <v>1619</v>
      </c>
      <c r="C22" s="9" t="s">
        <v>1620</v>
      </c>
      <c r="D22" s="9" t="s">
        <v>47</v>
      </c>
      <c r="E22" s="9" t="s">
        <v>47</v>
      </c>
      <c r="F22" s="9" t="s">
        <v>1621</v>
      </c>
      <c r="G22" s="9" t="s">
        <v>1738</v>
      </c>
      <c r="H22" s="9" t="s">
        <v>1622</v>
      </c>
      <c r="I22" s="9" t="s">
        <v>416</v>
      </c>
      <c r="J22" s="9"/>
      <c r="K22" s="408">
        <v>389000</v>
      </c>
      <c r="L22" s="408">
        <v>389000</v>
      </c>
      <c r="M22" s="406"/>
      <c r="N22" s="408"/>
      <c r="O22" s="366"/>
      <c r="P22" s="408"/>
      <c r="Q22" s="408">
        <f t="shared" si="6"/>
        <v>389000</v>
      </c>
      <c r="R22" s="406">
        <v>389000</v>
      </c>
      <c r="S22" s="406"/>
      <c r="T22" s="406"/>
      <c r="U22" s="406">
        <v>50000</v>
      </c>
      <c r="V22" s="406">
        <v>50000</v>
      </c>
      <c r="W22" s="406"/>
      <c r="X22" s="9" t="s">
        <v>1739</v>
      </c>
      <c r="Y22" s="423">
        <f t="shared" si="3"/>
        <v>0</v>
      </c>
    </row>
    <row r="23" spans="1:33" s="412" customFormat="1" ht="36.75" customHeight="1">
      <c r="A23" s="400" t="s">
        <v>498</v>
      </c>
      <c r="B23" s="452" t="s">
        <v>499</v>
      </c>
      <c r="C23" s="402"/>
      <c r="D23" s="402"/>
      <c r="E23" s="402"/>
      <c r="F23" s="402"/>
      <c r="G23" s="402"/>
      <c r="H23" s="402"/>
      <c r="I23" s="402"/>
      <c r="J23" s="402"/>
      <c r="K23" s="403">
        <f t="shared" ref="K23:T23" si="7">SUM(K24:K25)</f>
        <v>520000</v>
      </c>
      <c r="L23" s="403">
        <f t="shared" si="7"/>
        <v>500000</v>
      </c>
      <c r="M23" s="403">
        <f t="shared" si="7"/>
        <v>20000</v>
      </c>
      <c r="N23" s="403">
        <f t="shared" si="7"/>
        <v>0</v>
      </c>
      <c r="O23" s="403">
        <f t="shared" si="7"/>
        <v>0</v>
      </c>
      <c r="P23" s="403">
        <f t="shared" si="7"/>
        <v>0</v>
      </c>
      <c r="Q23" s="403">
        <f t="shared" si="7"/>
        <v>520000</v>
      </c>
      <c r="R23" s="403">
        <f t="shared" si="7"/>
        <v>500000</v>
      </c>
      <c r="S23" s="403">
        <f t="shared" si="7"/>
        <v>20000</v>
      </c>
      <c r="T23" s="403">
        <f t="shared" si="7"/>
        <v>0</v>
      </c>
      <c r="U23" s="403">
        <f>SUM(U24:U25)</f>
        <v>100000</v>
      </c>
      <c r="V23" s="403">
        <f>SUM(V24:V25)</f>
        <v>100000</v>
      </c>
      <c r="W23" s="403">
        <f>SUM(W24:W25)</f>
        <v>0</v>
      </c>
      <c r="X23" s="450"/>
      <c r="Y23" s="423">
        <f t="shared" si="3"/>
        <v>0</v>
      </c>
      <c r="Z23" s="850"/>
    </row>
    <row r="24" spans="1:33" s="453" customFormat="1" ht="50.25" customHeight="1" outlineLevel="1">
      <c r="A24" s="369">
        <f>MAX(A$17:$A23)+1</f>
        <v>5</v>
      </c>
      <c r="B24" s="413" t="s">
        <v>500</v>
      </c>
      <c r="C24" s="408" t="s">
        <v>398</v>
      </c>
      <c r="D24" s="408" t="s">
        <v>47</v>
      </c>
      <c r="E24" s="408" t="s">
        <v>47</v>
      </c>
      <c r="F24" s="408" t="s">
        <v>323</v>
      </c>
      <c r="G24" s="408" t="s">
        <v>502</v>
      </c>
      <c r="H24" s="408" t="s">
        <v>503</v>
      </c>
      <c r="I24" s="408" t="s">
        <v>504</v>
      </c>
      <c r="J24" s="413"/>
      <c r="K24" s="413">
        <v>220000</v>
      </c>
      <c r="L24" s="413">
        <v>200000</v>
      </c>
      <c r="M24" s="413">
        <v>20000</v>
      </c>
      <c r="N24" s="413"/>
      <c r="O24" s="413"/>
      <c r="P24" s="413"/>
      <c r="Q24" s="408">
        <f t="shared" si="6"/>
        <v>220000</v>
      </c>
      <c r="R24" s="413">
        <v>200000</v>
      </c>
      <c r="S24" s="413">
        <v>20000</v>
      </c>
      <c r="T24" s="413"/>
      <c r="U24" s="413">
        <v>40000</v>
      </c>
      <c r="V24" s="413">
        <v>40000</v>
      </c>
      <c r="W24" s="413"/>
      <c r="X24" s="408"/>
      <c r="Y24" s="423">
        <f t="shared" si="3"/>
        <v>0</v>
      </c>
      <c r="Z24" s="848"/>
    </row>
    <row r="25" spans="1:33" s="453" customFormat="1" ht="66.75" customHeight="1" outlineLevel="1">
      <c r="A25" s="369">
        <f>MAX(A$17:$A24)+1</f>
        <v>6</v>
      </c>
      <c r="B25" s="413" t="s">
        <v>882</v>
      </c>
      <c r="C25" s="408" t="s">
        <v>883</v>
      </c>
      <c r="D25" s="408" t="s">
        <v>47</v>
      </c>
      <c r="E25" s="408" t="s">
        <v>47</v>
      </c>
      <c r="F25" s="408" t="s">
        <v>573</v>
      </c>
      <c r="G25" s="408" t="s">
        <v>884</v>
      </c>
      <c r="H25" s="408" t="s">
        <v>885</v>
      </c>
      <c r="I25" s="408" t="s">
        <v>416</v>
      </c>
      <c r="J25" s="413"/>
      <c r="K25" s="413">
        <v>300000</v>
      </c>
      <c r="L25" s="413">
        <v>300000</v>
      </c>
      <c r="M25" s="413"/>
      <c r="N25" s="413"/>
      <c r="O25" s="413"/>
      <c r="P25" s="413"/>
      <c r="Q25" s="408">
        <f t="shared" si="6"/>
        <v>300000</v>
      </c>
      <c r="R25" s="413">
        <v>300000</v>
      </c>
      <c r="S25" s="413"/>
      <c r="T25" s="413"/>
      <c r="U25" s="413">
        <v>60000</v>
      </c>
      <c r="V25" s="413">
        <v>60000</v>
      </c>
      <c r="W25" s="413"/>
      <c r="X25" s="408" t="s">
        <v>1740</v>
      </c>
      <c r="Y25" s="423">
        <f t="shared" si="3"/>
        <v>0</v>
      </c>
      <c r="Z25" s="848"/>
    </row>
    <row r="26" spans="1:33" s="412" customFormat="1" ht="29.25" customHeight="1">
      <c r="A26" s="400" t="s">
        <v>509</v>
      </c>
      <c r="B26" s="452" t="s">
        <v>1049</v>
      </c>
      <c r="C26" s="402"/>
      <c r="D26" s="402"/>
      <c r="E26" s="402"/>
      <c r="F26" s="402"/>
      <c r="G26" s="402"/>
      <c r="H26" s="402"/>
      <c r="I26" s="402"/>
      <c r="J26" s="402"/>
      <c r="K26" s="403">
        <f>K27</f>
        <v>300000</v>
      </c>
      <c r="L26" s="403">
        <f t="shared" ref="L26:W26" si="8">L27</f>
        <v>270000</v>
      </c>
      <c r="M26" s="403">
        <f t="shared" si="8"/>
        <v>30000</v>
      </c>
      <c r="N26" s="403">
        <f t="shared" si="8"/>
        <v>0</v>
      </c>
      <c r="O26" s="403">
        <f t="shared" si="8"/>
        <v>0</v>
      </c>
      <c r="P26" s="403">
        <f t="shared" si="8"/>
        <v>0</v>
      </c>
      <c r="Q26" s="403">
        <f t="shared" si="8"/>
        <v>300000</v>
      </c>
      <c r="R26" s="403">
        <f t="shared" si="8"/>
        <v>270000</v>
      </c>
      <c r="S26" s="403">
        <f t="shared" si="8"/>
        <v>30000</v>
      </c>
      <c r="T26" s="403">
        <f t="shared" si="8"/>
        <v>63000</v>
      </c>
      <c r="U26" s="403">
        <f t="shared" si="8"/>
        <v>63000</v>
      </c>
      <c r="V26" s="403">
        <f t="shared" si="8"/>
        <v>63000</v>
      </c>
      <c r="W26" s="403">
        <f t="shared" si="8"/>
        <v>0</v>
      </c>
      <c r="X26" s="450"/>
      <c r="Y26" s="423">
        <f t="shared" si="3"/>
        <v>0</v>
      </c>
      <c r="Z26" s="850"/>
    </row>
    <row r="27" spans="1:33" s="412" customFormat="1" ht="84.75" customHeight="1" outlineLevel="1">
      <c r="A27" s="369">
        <f>MAX(A$17:$A26)+1</f>
        <v>7</v>
      </c>
      <c r="B27" s="366" t="s">
        <v>515</v>
      </c>
      <c r="C27" s="414" t="s">
        <v>1741</v>
      </c>
      <c r="D27" s="9" t="str">
        <f>IF(K27&gt;=45000,"B","C")</f>
        <v>B</v>
      </c>
      <c r="E27" s="9" t="str">
        <f>IF(L27&gt;=45000,"B","C")</f>
        <v>B</v>
      </c>
      <c r="F27" s="369" t="s">
        <v>325</v>
      </c>
      <c r="G27" s="9" t="s">
        <v>516</v>
      </c>
      <c r="H27" s="9" t="s">
        <v>517</v>
      </c>
      <c r="I27" s="9" t="s">
        <v>462</v>
      </c>
      <c r="J27" s="368"/>
      <c r="K27" s="378">
        <v>300000</v>
      </c>
      <c r="L27" s="378">
        <v>270000</v>
      </c>
      <c r="M27" s="378">
        <f>K27-L27</f>
        <v>30000</v>
      </c>
      <c r="N27" s="454"/>
      <c r="O27" s="454"/>
      <c r="P27" s="454"/>
      <c r="Q27" s="413">
        <f t="shared" ref="Q27:Q33" si="9">R27+S27</f>
        <v>300000</v>
      </c>
      <c r="R27" s="378">
        <v>270000</v>
      </c>
      <c r="S27" s="378">
        <v>30000</v>
      </c>
      <c r="T27" s="378">
        <v>63000</v>
      </c>
      <c r="U27" s="378">
        <v>63000</v>
      </c>
      <c r="V27" s="378">
        <v>63000</v>
      </c>
      <c r="W27" s="378"/>
      <c r="X27" s="455"/>
      <c r="Y27" s="423">
        <f t="shared" si="3"/>
        <v>0</v>
      </c>
      <c r="Z27" s="850"/>
    </row>
    <row r="28" spans="1:33" s="412" customFormat="1" ht="33" customHeight="1">
      <c r="A28" s="400" t="s">
        <v>1742</v>
      </c>
      <c r="B28" s="452" t="s">
        <v>556</v>
      </c>
      <c r="C28" s="402"/>
      <c r="D28" s="402"/>
      <c r="E28" s="402"/>
      <c r="F28" s="402"/>
      <c r="G28" s="402"/>
      <c r="H28" s="402"/>
      <c r="I28" s="402"/>
      <c r="J28" s="402"/>
      <c r="K28" s="403">
        <f>K29</f>
        <v>120000</v>
      </c>
      <c r="L28" s="403">
        <f t="shared" ref="L28:W28" si="10">L29</f>
        <v>120000</v>
      </c>
      <c r="M28" s="403">
        <f t="shared" si="10"/>
        <v>0</v>
      </c>
      <c r="N28" s="403">
        <f t="shared" si="10"/>
        <v>0</v>
      </c>
      <c r="O28" s="403">
        <f t="shared" si="10"/>
        <v>0</v>
      </c>
      <c r="P28" s="403">
        <f t="shared" si="10"/>
        <v>0</v>
      </c>
      <c r="Q28" s="403">
        <f t="shared" si="10"/>
        <v>120000</v>
      </c>
      <c r="R28" s="403">
        <f t="shared" si="10"/>
        <v>120000</v>
      </c>
      <c r="S28" s="403">
        <f t="shared" si="10"/>
        <v>0</v>
      </c>
      <c r="T28" s="403">
        <f t="shared" si="10"/>
        <v>0</v>
      </c>
      <c r="U28" s="403">
        <f t="shared" si="10"/>
        <v>30000</v>
      </c>
      <c r="V28" s="403">
        <f t="shared" si="10"/>
        <v>30000</v>
      </c>
      <c r="W28" s="403">
        <f t="shared" si="10"/>
        <v>0</v>
      </c>
      <c r="X28" s="450"/>
      <c r="Y28" s="423">
        <f t="shared" si="3"/>
        <v>0</v>
      </c>
      <c r="Z28" s="850"/>
    </row>
    <row r="29" spans="1:33" s="412" customFormat="1" ht="66.75" customHeight="1" outlineLevel="1">
      <c r="A29" s="369">
        <f>MAX(A$17:$A28)+1</f>
        <v>8</v>
      </c>
      <c r="B29" s="366" t="s">
        <v>1743</v>
      </c>
      <c r="C29" s="414" t="s">
        <v>1727</v>
      </c>
      <c r="D29" s="9"/>
      <c r="E29" s="9" t="s">
        <v>47</v>
      </c>
      <c r="F29" s="369" t="s">
        <v>1727</v>
      </c>
      <c r="G29" s="9" t="s">
        <v>1744</v>
      </c>
      <c r="H29" s="9" t="s">
        <v>1745</v>
      </c>
      <c r="I29" s="9" t="s">
        <v>416</v>
      </c>
      <c r="J29" s="368"/>
      <c r="K29" s="378">
        <v>120000</v>
      </c>
      <c r="L29" s="378">
        <v>120000</v>
      </c>
      <c r="M29" s="453"/>
      <c r="N29" s="454"/>
      <c r="O29" s="454"/>
      <c r="P29" s="454"/>
      <c r="Q29" s="408">
        <f t="shared" si="9"/>
        <v>120000</v>
      </c>
      <c r="R29" s="378">
        <v>120000</v>
      </c>
      <c r="S29" s="378"/>
      <c r="T29" s="378"/>
      <c r="U29" s="378">
        <v>30000</v>
      </c>
      <c r="V29" s="378">
        <v>30000</v>
      </c>
      <c r="W29" s="378"/>
      <c r="X29" s="366" t="s">
        <v>1746</v>
      </c>
      <c r="Y29" s="423">
        <f t="shared" si="3"/>
        <v>0</v>
      </c>
      <c r="Z29" s="850"/>
    </row>
    <row r="30" spans="1:33" s="412" customFormat="1" ht="21.75" customHeight="1">
      <c r="A30" s="400" t="s">
        <v>531</v>
      </c>
      <c r="B30" s="452" t="s">
        <v>532</v>
      </c>
      <c r="C30" s="402"/>
      <c r="D30" s="402"/>
      <c r="E30" s="402"/>
      <c r="F30" s="402"/>
      <c r="G30" s="402"/>
      <c r="H30" s="402"/>
      <c r="I30" s="402"/>
      <c r="J30" s="402"/>
      <c r="K30" s="403">
        <f t="shared" ref="K30:W30" si="11">SUM(K31:K31)</f>
        <v>202000</v>
      </c>
      <c r="L30" s="403">
        <f t="shared" si="11"/>
        <v>150000</v>
      </c>
      <c r="M30" s="403">
        <f t="shared" si="11"/>
        <v>52000</v>
      </c>
      <c r="N30" s="403">
        <f t="shared" si="11"/>
        <v>0</v>
      </c>
      <c r="O30" s="403">
        <f t="shared" si="11"/>
        <v>0</v>
      </c>
      <c r="P30" s="403">
        <f t="shared" si="11"/>
        <v>0</v>
      </c>
      <c r="Q30" s="403">
        <f t="shared" si="11"/>
        <v>200000</v>
      </c>
      <c r="R30" s="403">
        <f t="shared" si="11"/>
        <v>150000</v>
      </c>
      <c r="S30" s="403">
        <f t="shared" si="11"/>
        <v>50000</v>
      </c>
      <c r="T30" s="403">
        <f t="shared" si="11"/>
        <v>0</v>
      </c>
      <c r="U30" s="403">
        <f t="shared" si="11"/>
        <v>46753</v>
      </c>
      <c r="V30" s="403">
        <f t="shared" si="11"/>
        <v>46753</v>
      </c>
      <c r="W30" s="403">
        <f t="shared" si="11"/>
        <v>0</v>
      </c>
      <c r="X30" s="450"/>
      <c r="Y30" s="423">
        <f t="shared" si="3"/>
        <v>0</v>
      </c>
      <c r="Z30" s="850"/>
    </row>
    <row r="31" spans="1:33" s="412" customFormat="1" ht="70.5" customHeight="1" outlineLevel="1">
      <c r="A31" s="369">
        <f>MAX(A$17:$A30)+1</f>
        <v>9</v>
      </c>
      <c r="B31" s="366" t="s">
        <v>533</v>
      </c>
      <c r="C31" s="414" t="s">
        <v>138</v>
      </c>
      <c r="D31" s="9" t="s">
        <v>47</v>
      </c>
      <c r="E31" s="9" t="s">
        <v>47</v>
      </c>
      <c r="F31" s="369" t="s">
        <v>331</v>
      </c>
      <c r="G31" s="9" t="s">
        <v>534</v>
      </c>
      <c r="H31" s="9" t="s">
        <v>1747</v>
      </c>
      <c r="I31" s="9" t="s">
        <v>462</v>
      </c>
      <c r="J31" s="368"/>
      <c r="K31" s="378">
        <v>202000</v>
      </c>
      <c r="L31" s="378">
        <v>150000</v>
      </c>
      <c r="M31" s="378">
        <f>K31-L31</f>
        <v>52000</v>
      </c>
      <c r="N31" s="454"/>
      <c r="O31" s="454"/>
      <c r="P31" s="454"/>
      <c r="Q31" s="408">
        <f t="shared" si="9"/>
        <v>200000</v>
      </c>
      <c r="R31" s="378">
        <v>150000</v>
      </c>
      <c r="S31" s="378">
        <v>50000</v>
      </c>
      <c r="T31" s="378"/>
      <c r="U31" s="378">
        <v>46753</v>
      </c>
      <c r="V31" s="378">
        <v>46753</v>
      </c>
      <c r="W31" s="378"/>
      <c r="X31" s="455"/>
      <c r="Y31" s="423">
        <f t="shared" si="3"/>
        <v>0</v>
      </c>
      <c r="Z31" s="850"/>
      <c r="AA31" s="412" t="e">
        <f>#REF!-1400000</f>
        <v>#REF!</v>
      </c>
      <c r="AB31" s="412">
        <v>84701</v>
      </c>
      <c r="AC31" s="412">
        <v>64846.542518557049</v>
      </c>
    </row>
    <row r="32" spans="1:33" s="412" customFormat="1" ht="20.25" customHeight="1">
      <c r="A32" s="400" t="s">
        <v>555</v>
      </c>
      <c r="B32" s="452" t="s">
        <v>1330</v>
      </c>
      <c r="C32" s="402"/>
      <c r="D32" s="402"/>
      <c r="E32" s="402"/>
      <c r="F32" s="402"/>
      <c r="G32" s="402"/>
      <c r="H32" s="402"/>
      <c r="I32" s="402"/>
      <c r="J32" s="402"/>
      <c r="K32" s="403">
        <f>K33</f>
        <v>313500</v>
      </c>
      <c r="L32" s="403">
        <f t="shared" ref="L32:W32" si="12">L33</f>
        <v>313500</v>
      </c>
      <c r="M32" s="403">
        <f t="shared" si="12"/>
        <v>0</v>
      </c>
      <c r="N32" s="403">
        <f t="shared" si="12"/>
        <v>0</v>
      </c>
      <c r="O32" s="403">
        <f t="shared" si="12"/>
        <v>0</v>
      </c>
      <c r="P32" s="403">
        <f t="shared" si="12"/>
        <v>0</v>
      </c>
      <c r="Q32" s="403">
        <f t="shared" si="12"/>
        <v>200000</v>
      </c>
      <c r="R32" s="403">
        <f t="shared" si="12"/>
        <v>200000</v>
      </c>
      <c r="S32" s="403">
        <f t="shared" si="12"/>
        <v>0</v>
      </c>
      <c r="T32" s="403">
        <f t="shared" si="12"/>
        <v>1000</v>
      </c>
      <c r="U32" s="403">
        <f t="shared" si="12"/>
        <v>1000</v>
      </c>
      <c r="V32" s="403">
        <f t="shared" si="12"/>
        <v>1000</v>
      </c>
      <c r="W32" s="403">
        <f t="shared" si="12"/>
        <v>0</v>
      </c>
      <c r="X32" s="450"/>
      <c r="Y32" s="423">
        <f t="shared" si="3"/>
        <v>113500</v>
      </c>
      <c r="Z32" s="850"/>
    </row>
    <row r="33" spans="1:25" ht="60.75" customHeight="1" outlineLevel="1">
      <c r="A33" s="415">
        <f>MAX(A$17:$A32)+1</f>
        <v>10</v>
      </c>
      <c r="B33" s="416" t="s">
        <v>1748</v>
      </c>
      <c r="C33" s="417" t="s">
        <v>1749</v>
      </c>
      <c r="D33" s="415" t="s">
        <v>47</v>
      </c>
      <c r="E33" s="418" t="s">
        <v>47</v>
      </c>
      <c r="F33" s="258" t="s">
        <v>1750</v>
      </c>
      <c r="G33" s="419" t="s">
        <v>1751</v>
      </c>
      <c r="H33" s="258" t="s">
        <v>1752</v>
      </c>
      <c r="I33" s="415" t="s">
        <v>416</v>
      </c>
      <c r="J33" s="420">
        <v>313500</v>
      </c>
      <c r="K33" s="420">
        <v>313500</v>
      </c>
      <c r="L33" s="420">
        <v>313500</v>
      </c>
      <c r="M33" s="421"/>
      <c r="N33" s="421"/>
      <c r="O33" s="421"/>
      <c r="P33" s="421"/>
      <c r="Q33" s="420">
        <f t="shared" si="9"/>
        <v>200000</v>
      </c>
      <c r="R33" s="420">
        <v>200000</v>
      </c>
      <c r="S33" s="421"/>
      <c r="T33" s="421">
        <v>1000</v>
      </c>
      <c r="U33" s="421">
        <v>1000</v>
      </c>
      <c r="V33" s="421">
        <v>1000</v>
      </c>
      <c r="W33" s="421"/>
      <c r="X33" s="422" t="s">
        <v>1753</v>
      </c>
      <c r="Y33" s="423">
        <f t="shared" si="3"/>
        <v>113500</v>
      </c>
    </row>
    <row r="34" spans="1:25" ht="40.200000000000003" customHeight="1"/>
  </sheetData>
  <mergeCells count="36">
    <mergeCell ref="A1:X1"/>
    <mergeCell ref="A2:X2"/>
    <mergeCell ref="A3:X3"/>
    <mergeCell ref="A4:X4"/>
    <mergeCell ref="A6:A9"/>
    <mergeCell ref="B6:B9"/>
    <mergeCell ref="C6:C9"/>
    <mergeCell ref="D6:D9"/>
    <mergeCell ref="E6:E9"/>
    <mergeCell ref="F6:F9"/>
    <mergeCell ref="T6:T9"/>
    <mergeCell ref="G6:G9"/>
    <mergeCell ref="H6:H9"/>
    <mergeCell ref="I6:I9"/>
    <mergeCell ref="J6:M6"/>
    <mergeCell ref="N6:P6"/>
    <mergeCell ref="J7:J9"/>
    <mergeCell ref="K7:K9"/>
    <mergeCell ref="L7:M7"/>
    <mergeCell ref="N7:N9"/>
    <mergeCell ref="O7:P7"/>
    <mergeCell ref="L8:L9"/>
    <mergeCell ref="M8:M9"/>
    <mergeCell ref="V8:V9"/>
    <mergeCell ref="W8:W9"/>
    <mergeCell ref="O8:O9"/>
    <mergeCell ref="P8:P9"/>
    <mergeCell ref="X6:X9"/>
    <mergeCell ref="Q7:Q9"/>
    <mergeCell ref="R7:S7"/>
    <mergeCell ref="Q6:S6"/>
    <mergeCell ref="R8:R9"/>
    <mergeCell ref="S8:S9"/>
    <mergeCell ref="U6:W6"/>
    <mergeCell ref="U7:U9"/>
    <mergeCell ref="V7:W7"/>
  </mergeCells>
  <printOptions horizontalCentered="1"/>
  <pageMargins left="0.11811023622047245" right="0.11811023622047245" top="0.55000000000000004" bottom="0.23622047244094491" header="3.937007874015748E-2" footer="3.937007874015748E-2"/>
  <pageSetup paperSize="9" scale="67" fitToHeight="0" orientation="landscape" r:id="rId1"/>
  <headerFooter>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3"/>
  <sheetViews>
    <sheetView topLeftCell="A16" zoomScale="85" zoomScaleNormal="85" workbookViewId="0">
      <selection activeCell="C6" sqref="C6:G8"/>
    </sheetView>
  </sheetViews>
  <sheetFormatPr defaultColWidth="11.44140625" defaultRowHeight="15.6" outlineLevelCol="1"/>
  <cols>
    <col min="1" max="1" width="4" style="325" customWidth="1"/>
    <col min="2" max="2" width="19.109375" style="325" customWidth="1"/>
    <col min="3" max="3" width="11.33203125" style="325" bestFit="1" customWidth="1"/>
    <col min="4" max="4" width="9.6640625" style="325" customWidth="1"/>
    <col min="5" max="5" width="9.88671875" style="325" customWidth="1"/>
    <col min="6" max="6" width="9.109375" style="325" customWidth="1"/>
    <col min="7" max="7" width="8" style="325" customWidth="1"/>
    <col min="8" max="8" width="11" style="325" customWidth="1"/>
    <col min="9" max="9" width="10.109375" style="325" bestFit="1" customWidth="1"/>
    <col min="10" max="10" width="7.5546875" style="325" customWidth="1"/>
    <col min="11" max="11" width="7.44140625" style="325" customWidth="1"/>
    <col min="12" max="12" width="7.88671875" style="325" customWidth="1"/>
    <col min="13" max="13" width="9.109375" style="325" hidden="1" customWidth="1" outlineLevel="1"/>
    <col min="14" max="14" width="8" style="325" hidden="1" customWidth="1" outlineLevel="1"/>
    <col min="15" max="15" width="7.5546875" style="325" hidden="1" customWidth="1" outlineLevel="1"/>
    <col min="16" max="17" width="6.44140625" style="325" hidden="1" customWidth="1" outlineLevel="1"/>
    <col min="18" max="18" width="7.6640625" style="325" hidden="1" customWidth="1" outlineLevel="1"/>
    <col min="19" max="19" width="6.44140625" style="325" hidden="1" customWidth="1" outlineLevel="1"/>
    <col min="20" max="20" width="7.5546875" style="325" hidden="1" customWidth="1" outlineLevel="1"/>
    <col min="21" max="26" width="6.44140625" style="325" hidden="1" customWidth="1" outlineLevel="1"/>
    <col min="27" max="27" width="5.44140625" style="325" hidden="1" customWidth="1" outlineLevel="1"/>
    <col min="28" max="28" width="9" style="325" customWidth="1" collapsed="1"/>
    <col min="29" max="29" width="9.5546875" style="325" customWidth="1"/>
    <col min="30" max="30" width="8.5546875" style="325" customWidth="1"/>
    <col min="31" max="31" width="7.44140625" style="325" customWidth="1"/>
    <col min="32" max="32" width="7.109375" style="325" customWidth="1"/>
    <col min="33" max="33" width="8.109375" style="325" customWidth="1"/>
    <col min="34" max="34" width="8.44140625" style="325" bestFit="1" customWidth="1"/>
    <col min="35" max="35" width="6.44140625" style="325" customWidth="1"/>
    <col min="36" max="36" width="8.44140625" style="325" bestFit="1" customWidth="1"/>
    <col min="37" max="37" width="6.44140625" style="325" customWidth="1"/>
    <col min="38" max="38" width="9.33203125" style="325" customWidth="1"/>
    <col min="39" max="39" width="10.109375" style="325" bestFit="1" customWidth="1"/>
    <col min="40" max="40" width="8.6640625" style="325" customWidth="1"/>
    <col min="41" max="41" width="8.33203125" style="325" customWidth="1"/>
    <col min="42" max="42" width="7.109375" style="325" customWidth="1"/>
    <col min="43" max="43" width="9.109375" style="325" customWidth="1"/>
    <col min="44" max="44" width="7.5546875" style="325" customWidth="1"/>
    <col min="45" max="45" width="6.33203125" style="325" customWidth="1"/>
    <col min="46" max="46" width="8.33203125" style="325" customWidth="1"/>
    <col min="47" max="47" width="9.5546875" style="325" customWidth="1"/>
    <col min="48" max="48" width="7" style="325" customWidth="1"/>
    <col min="49" max="49" width="5.44140625" style="325" customWidth="1"/>
    <col min="50" max="256" width="11.44140625" style="325"/>
    <col min="257" max="257" width="4.44140625" style="325" customWidth="1"/>
    <col min="258" max="258" width="24.109375" style="325" customWidth="1"/>
    <col min="259" max="259" width="9.44140625" style="325" customWidth="1"/>
    <col min="260" max="260" width="8.88671875" style="325" customWidth="1"/>
    <col min="261" max="261" width="9.88671875" style="325" customWidth="1"/>
    <col min="262" max="262" width="9.109375" style="325" customWidth="1"/>
    <col min="263" max="263" width="8" style="325" customWidth="1"/>
    <col min="264" max="264" width="11" style="325" customWidth="1"/>
    <col min="265" max="266" width="7.5546875" style="325" customWidth="1"/>
    <col min="267" max="267" width="7.44140625" style="325" customWidth="1"/>
    <col min="268" max="268" width="7.88671875" style="325" customWidth="1"/>
    <col min="269" max="269" width="9.109375" style="325" customWidth="1"/>
    <col min="270" max="270" width="8" style="325" customWidth="1"/>
    <col min="271" max="271" width="7.5546875" style="325" customWidth="1"/>
    <col min="272" max="273" width="6.44140625" style="325" customWidth="1"/>
    <col min="274" max="274" width="7.6640625" style="325" customWidth="1"/>
    <col min="275" max="275" width="6.44140625" style="325" customWidth="1"/>
    <col min="276" max="276" width="7.5546875" style="325" customWidth="1"/>
    <col min="277" max="282" width="6.44140625" style="325" customWidth="1"/>
    <col min="283" max="283" width="5.44140625" style="325" customWidth="1"/>
    <col min="284" max="284" width="9" style="325" customWidth="1"/>
    <col min="285" max="285" width="9.5546875" style="325" customWidth="1"/>
    <col min="286" max="286" width="8.5546875" style="325" customWidth="1"/>
    <col min="287" max="287" width="7.44140625" style="325" customWidth="1"/>
    <col min="288" max="288" width="7.109375" style="325" customWidth="1"/>
    <col min="289" max="289" width="8.109375" style="325" customWidth="1"/>
    <col min="290" max="293" width="6.44140625" style="325" customWidth="1"/>
    <col min="294" max="294" width="9.33203125" style="325" customWidth="1"/>
    <col min="295" max="295" width="7.44140625" style="325" customWidth="1"/>
    <col min="296" max="296" width="8.6640625" style="325" customWidth="1"/>
    <col min="297" max="297" width="8.33203125" style="325" customWidth="1"/>
    <col min="298" max="298" width="7.109375" style="325" customWidth="1"/>
    <col min="299" max="299" width="9.109375" style="325" customWidth="1"/>
    <col min="300" max="300" width="7.5546875" style="325" customWidth="1"/>
    <col min="301" max="301" width="6.33203125" style="325" customWidth="1"/>
    <col min="302" max="302" width="8.33203125" style="325" customWidth="1"/>
    <col min="303" max="303" width="9.5546875" style="325" customWidth="1"/>
    <col min="304" max="304" width="7" style="325" customWidth="1"/>
    <col min="305" max="305" width="5.44140625" style="325" customWidth="1"/>
    <col min="306" max="512" width="11.44140625" style="325"/>
    <col min="513" max="513" width="4.44140625" style="325" customWidth="1"/>
    <col min="514" max="514" width="24.109375" style="325" customWidth="1"/>
    <col min="515" max="515" width="9.44140625" style="325" customWidth="1"/>
    <col min="516" max="516" width="8.88671875" style="325" customWidth="1"/>
    <col min="517" max="517" width="9.88671875" style="325" customWidth="1"/>
    <col min="518" max="518" width="9.109375" style="325" customWidth="1"/>
    <col min="519" max="519" width="8" style="325" customWidth="1"/>
    <col min="520" max="520" width="11" style="325" customWidth="1"/>
    <col min="521" max="522" width="7.5546875" style="325" customWidth="1"/>
    <col min="523" max="523" width="7.44140625" style="325" customWidth="1"/>
    <col min="524" max="524" width="7.88671875" style="325" customWidth="1"/>
    <col min="525" max="525" width="9.109375" style="325" customWidth="1"/>
    <col min="526" max="526" width="8" style="325" customWidth="1"/>
    <col min="527" max="527" width="7.5546875" style="325" customWidth="1"/>
    <col min="528" max="529" width="6.44140625" style="325" customWidth="1"/>
    <col min="530" max="530" width="7.6640625" style="325" customWidth="1"/>
    <col min="531" max="531" width="6.44140625" style="325" customWidth="1"/>
    <col min="532" max="532" width="7.5546875" style="325" customWidth="1"/>
    <col min="533" max="538" width="6.44140625" style="325" customWidth="1"/>
    <col min="539" max="539" width="5.44140625" style="325" customWidth="1"/>
    <col min="540" max="540" width="9" style="325" customWidth="1"/>
    <col min="541" max="541" width="9.5546875" style="325" customWidth="1"/>
    <col min="542" max="542" width="8.5546875" style="325" customWidth="1"/>
    <col min="543" max="543" width="7.44140625" style="325" customWidth="1"/>
    <col min="544" max="544" width="7.109375" style="325" customWidth="1"/>
    <col min="545" max="545" width="8.109375" style="325" customWidth="1"/>
    <col min="546" max="549" width="6.44140625" style="325" customWidth="1"/>
    <col min="550" max="550" width="9.33203125" style="325" customWidth="1"/>
    <col min="551" max="551" width="7.44140625" style="325" customWidth="1"/>
    <col min="552" max="552" width="8.6640625" style="325" customWidth="1"/>
    <col min="553" max="553" width="8.33203125" style="325" customWidth="1"/>
    <col min="554" max="554" width="7.109375" style="325" customWidth="1"/>
    <col min="555" max="555" width="9.109375" style="325" customWidth="1"/>
    <col min="556" max="556" width="7.5546875" style="325" customWidth="1"/>
    <col min="557" max="557" width="6.33203125" style="325" customWidth="1"/>
    <col min="558" max="558" width="8.33203125" style="325" customWidth="1"/>
    <col min="559" max="559" width="9.5546875" style="325" customWidth="1"/>
    <col min="560" max="560" width="7" style="325" customWidth="1"/>
    <col min="561" max="561" width="5.44140625" style="325" customWidth="1"/>
    <col min="562" max="768" width="11.44140625" style="325"/>
    <col min="769" max="769" width="4.44140625" style="325" customWidth="1"/>
    <col min="770" max="770" width="24.109375" style="325" customWidth="1"/>
    <col min="771" max="771" width="9.44140625" style="325" customWidth="1"/>
    <col min="772" max="772" width="8.88671875" style="325" customWidth="1"/>
    <col min="773" max="773" width="9.88671875" style="325" customWidth="1"/>
    <col min="774" max="774" width="9.109375" style="325" customWidth="1"/>
    <col min="775" max="775" width="8" style="325" customWidth="1"/>
    <col min="776" max="776" width="11" style="325" customWidth="1"/>
    <col min="777" max="778" width="7.5546875" style="325" customWidth="1"/>
    <col min="779" max="779" width="7.44140625" style="325" customWidth="1"/>
    <col min="780" max="780" width="7.88671875" style="325" customWidth="1"/>
    <col min="781" max="781" width="9.109375" style="325" customWidth="1"/>
    <col min="782" max="782" width="8" style="325" customWidth="1"/>
    <col min="783" max="783" width="7.5546875" style="325" customWidth="1"/>
    <col min="784" max="785" width="6.44140625" style="325" customWidth="1"/>
    <col min="786" max="786" width="7.6640625" style="325" customWidth="1"/>
    <col min="787" max="787" width="6.44140625" style="325" customWidth="1"/>
    <col min="788" max="788" width="7.5546875" style="325" customWidth="1"/>
    <col min="789" max="794" width="6.44140625" style="325" customWidth="1"/>
    <col min="795" max="795" width="5.44140625" style="325" customWidth="1"/>
    <col min="796" max="796" width="9" style="325" customWidth="1"/>
    <col min="797" max="797" width="9.5546875" style="325" customWidth="1"/>
    <col min="798" max="798" width="8.5546875" style="325" customWidth="1"/>
    <col min="799" max="799" width="7.44140625" style="325" customWidth="1"/>
    <col min="800" max="800" width="7.109375" style="325" customWidth="1"/>
    <col min="801" max="801" width="8.109375" style="325" customWidth="1"/>
    <col min="802" max="805" width="6.44140625" style="325" customWidth="1"/>
    <col min="806" max="806" width="9.33203125" style="325" customWidth="1"/>
    <col min="807" max="807" width="7.44140625" style="325" customWidth="1"/>
    <col min="808" max="808" width="8.6640625" style="325" customWidth="1"/>
    <col min="809" max="809" width="8.33203125" style="325" customWidth="1"/>
    <col min="810" max="810" width="7.109375" style="325" customWidth="1"/>
    <col min="811" max="811" width="9.109375" style="325" customWidth="1"/>
    <col min="812" max="812" width="7.5546875" style="325" customWidth="1"/>
    <col min="813" max="813" width="6.33203125" style="325" customWidth="1"/>
    <col min="814" max="814" width="8.33203125" style="325" customWidth="1"/>
    <col min="815" max="815" width="9.5546875" style="325" customWidth="1"/>
    <col min="816" max="816" width="7" style="325" customWidth="1"/>
    <col min="817" max="817" width="5.44140625" style="325" customWidth="1"/>
    <col min="818" max="1024" width="11.44140625" style="325"/>
    <col min="1025" max="1025" width="4.44140625" style="325" customWidth="1"/>
    <col min="1026" max="1026" width="24.109375" style="325" customWidth="1"/>
    <col min="1027" max="1027" width="9.44140625" style="325" customWidth="1"/>
    <col min="1028" max="1028" width="8.88671875" style="325" customWidth="1"/>
    <col min="1029" max="1029" width="9.88671875" style="325" customWidth="1"/>
    <col min="1030" max="1030" width="9.109375" style="325" customWidth="1"/>
    <col min="1031" max="1031" width="8" style="325" customWidth="1"/>
    <col min="1032" max="1032" width="11" style="325" customWidth="1"/>
    <col min="1033" max="1034" width="7.5546875" style="325" customWidth="1"/>
    <col min="1035" max="1035" width="7.44140625" style="325" customWidth="1"/>
    <col min="1036" max="1036" width="7.88671875" style="325" customWidth="1"/>
    <col min="1037" max="1037" width="9.109375" style="325" customWidth="1"/>
    <col min="1038" max="1038" width="8" style="325" customWidth="1"/>
    <col min="1039" max="1039" width="7.5546875" style="325" customWidth="1"/>
    <col min="1040" max="1041" width="6.44140625" style="325" customWidth="1"/>
    <col min="1042" max="1042" width="7.6640625" style="325" customWidth="1"/>
    <col min="1043" max="1043" width="6.44140625" style="325" customWidth="1"/>
    <col min="1044" max="1044" width="7.5546875" style="325" customWidth="1"/>
    <col min="1045" max="1050" width="6.44140625" style="325" customWidth="1"/>
    <col min="1051" max="1051" width="5.44140625" style="325" customWidth="1"/>
    <col min="1052" max="1052" width="9" style="325" customWidth="1"/>
    <col min="1053" max="1053" width="9.5546875" style="325" customWidth="1"/>
    <col min="1054" max="1054" width="8.5546875" style="325" customWidth="1"/>
    <col min="1055" max="1055" width="7.44140625" style="325" customWidth="1"/>
    <col min="1056" max="1056" width="7.109375" style="325" customWidth="1"/>
    <col min="1057" max="1057" width="8.109375" style="325" customWidth="1"/>
    <col min="1058" max="1061" width="6.44140625" style="325" customWidth="1"/>
    <col min="1062" max="1062" width="9.33203125" style="325" customWidth="1"/>
    <col min="1063" max="1063" width="7.44140625" style="325" customWidth="1"/>
    <col min="1064" max="1064" width="8.6640625" style="325" customWidth="1"/>
    <col min="1065" max="1065" width="8.33203125" style="325" customWidth="1"/>
    <col min="1066" max="1066" width="7.109375" style="325" customWidth="1"/>
    <col min="1067" max="1067" width="9.109375" style="325" customWidth="1"/>
    <col min="1068" max="1068" width="7.5546875" style="325" customWidth="1"/>
    <col min="1069" max="1069" width="6.33203125" style="325" customWidth="1"/>
    <col min="1070" max="1070" width="8.33203125" style="325" customWidth="1"/>
    <col min="1071" max="1071" width="9.5546875" style="325" customWidth="1"/>
    <col min="1072" max="1072" width="7" style="325" customWidth="1"/>
    <col min="1073" max="1073" width="5.44140625" style="325" customWidth="1"/>
    <col min="1074" max="1280" width="11.44140625" style="325"/>
    <col min="1281" max="1281" width="4.44140625" style="325" customWidth="1"/>
    <col min="1282" max="1282" width="24.109375" style="325" customWidth="1"/>
    <col min="1283" max="1283" width="9.44140625" style="325" customWidth="1"/>
    <col min="1284" max="1284" width="8.88671875" style="325" customWidth="1"/>
    <col min="1285" max="1285" width="9.88671875" style="325" customWidth="1"/>
    <col min="1286" max="1286" width="9.109375" style="325" customWidth="1"/>
    <col min="1287" max="1287" width="8" style="325" customWidth="1"/>
    <col min="1288" max="1288" width="11" style="325" customWidth="1"/>
    <col min="1289" max="1290" width="7.5546875" style="325" customWidth="1"/>
    <col min="1291" max="1291" width="7.44140625" style="325" customWidth="1"/>
    <col min="1292" max="1292" width="7.88671875" style="325" customWidth="1"/>
    <col min="1293" max="1293" width="9.109375" style="325" customWidth="1"/>
    <col min="1294" max="1294" width="8" style="325" customWidth="1"/>
    <col min="1295" max="1295" width="7.5546875" style="325" customWidth="1"/>
    <col min="1296" max="1297" width="6.44140625" style="325" customWidth="1"/>
    <col min="1298" max="1298" width="7.6640625" style="325" customWidth="1"/>
    <col min="1299" max="1299" width="6.44140625" style="325" customWidth="1"/>
    <col min="1300" max="1300" width="7.5546875" style="325" customWidth="1"/>
    <col min="1301" max="1306" width="6.44140625" style="325" customWidth="1"/>
    <col min="1307" max="1307" width="5.44140625" style="325" customWidth="1"/>
    <col min="1308" max="1308" width="9" style="325" customWidth="1"/>
    <col min="1309" max="1309" width="9.5546875" style="325" customWidth="1"/>
    <col min="1310" max="1310" width="8.5546875" style="325" customWidth="1"/>
    <col min="1311" max="1311" width="7.44140625" style="325" customWidth="1"/>
    <col min="1312" max="1312" width="7.109375" style="325" customWidth="1"/>
    <col min="1313" max="1313" width="8.109375" style="325" customWidth="1"/>
    <col min="1314" max="1317" width="6.44140625" style="325" customWidth="1"/>
    <col min="1318" max="1318" width="9.33203125" style="325" customWidth="1"/>
    <col min="1319" max="1319" width="7.44140625" style="325" customWidth="1"/>
    <col min="1320" max="1320" width="8.6640625" style="325" customWidth="1"/>
    <col min="1321" max="1321" width="8.33203125" style="325" customWidth="1"/>
    <col min="1322" max="1322" width="7.109375" style="325" customWidth="1"/>
    <col min="1323" max="1323" width="9.109375" style="325" customWidth="1"/>
    <col min="1324" max="1324" width="7.5546875" style="325" customWidth="1"/>
    <col min="1325" max="1325" width="6.33203125" style="325" customWidth="1"/>
    <col min="1326" max="1326" width="8.33203125" style="325" customWidth="1"/>
    <col min="1327" max="1327" width="9.5546875" style="325" customWidth="1"/>
    <col min="1328" max="1328" width="7" style="325" customWidth="1"/>
    <col min="1329" max="1329" width="5.44140625" style="325" customWidth="1"/>
    <col min="1330" max="1536" width="11.44140625" style="325"/>
    <col min="1537" max="1537" width="4.44140625" style="325" customWidth="1"/>
    <col min="1538" max="1538" width="24.109375" style="325" customWidth="1"/>
    <col min="1539" max="1539" width="9.44140625" style="325" customWidth="1"/>
    <col min="1540" max="1540" width="8.88671875" style="325" customWidth="1"/>
    <col min="1541" max="1541" width="9.88671875" style="325" customWidth="1"/>
    <col min="1542" max="1542" width="9.109375" style="325" customWidth="1"/>
    <col min="1543" max="1543" width="8" style="325" customWidth="1"/>
    <col min="1544" max="1544" width="11" style="325" customWidth="1"/>
    <col min="1545" max="1546" width="7.5546875" style="325" customWidth="1"/>
    <col min="1547" max="1547" width="7.44140625" style="325" customWidth="1"/>
    <col min="1548" max="1548" width="7.88671875" style="325" customWidth="1"/>
    <col min="1549" max="1549" width="9.109375" style="325" customWidth="1"/>
    <col min="1550" max="1550" width="8" style="325" customWidth="1"/>
    <col min="1551" max="1551" width="7.5546875" style="325" customWidth="1"/>
    <col min="1552" max="1553" width="6.44140625" style="325" customWidth="1"/>
    <col min="1554" max="1554" width="7.6640625" style="325" customWidth="1"/>
    <col min="1555" max="1555" width="6.44140625" style="325" customWidth="1"/>
    <col min="1556" max="1556" width="7.5546875" style="325" customWidth="1"/>
    <col min="1557" max="1562" width="6.44140625" style="325" customWidth="1"/>
    <col min="1563" max="1563" width="5.44140625" style="325" customWidth="1"/>
    <col min="1564" max="1564" width="9" style="325" customWidth="1"/>
    <col min="1565" max="1565" width="9.5546875" style="325" customWidth="1"/>
    <col min="1566" max="1566" width="8.5546875" style="325" customWidth="1"/>
    <col min="1567" max="1567" width="7.44140625" style="325" customWidth="1"/>
    <col min="1568" max="1568" width="7.109375" style="325" customWidth="1"/>
    <col min="1569" max="1569" width="8.109375" style="325" customWidth="1"/>
    <col min="1570" max="1573" width="6.44140625" style="325" customWidth="1"/>
    <col min="1574" max="1574" width="9.33203125" style="325" customWidth="1"/>
    <col min="1575" max="1575" width="7.44140625" style="325" customWidth="1"/>
    <col min="1576" max="1576" width="8.6640625" style="325" customWidth="1"/>
    <col min="1577" max="1577" width="8.33203125" style="325" customWidth="1"/>
    <col min="1578" max="1578" width="7.109375" style="325" customWidth="1"/>
    <col min="1579" max="1579" width="9.109375" style="325" customWidth="1"/>
    <col min="1580" max="1580" width="7.5546875" style="325" customWidth="1"/>
    <col min="1581" max="1581" width="6.33203125" style="325" customWidth="1"/>
    <col min="1582" max="1582" width="8.33203125" style="325" customWidth="1"/>
    <col min="1583" max="1583" width="9.5546875" style="325" customWidth="1"/>
    <col min="1584" max="1584" width="7" style="325" customWidth="1"/>
    <col min="1585" max="1585" width="5.44140625" style="325" customWidth="1"/>
    <col min="1586" max="1792" width="11.44140625" style="325"/>
    <col min="1793" max="1793" width="4.44140625" style="325" customWidth="1"/>
    <col min="1794" max="1794" width="24.109375" style="325" customWidth="1"/>
    <col min="1795" max="1795" width="9.44140625" style="325" customWidth="1"/>
    <col min="1796" max="1796" width="8.88671875" style="325" customWidth="1"/>
    <col min="1797" max="1797" width="9.88671875" style="325" customWidth="1"/>
    <col min="1798" max="1798" width="9.109375" style="325" customWidth="1"/>
    <col min="1799" max="1799" width="8" style="325" customWidth="1"/>
    <col min="1800" max="1800" width="11" style="325" customWidth="1"/>
    <col min="1801" max="1802" width="7.5546875" style="325" customWidth="1"/>
    <col min="1803" max="1803" width="7.44140625" style="325" customWidth="1"/>
    <col min="1804" max="1804" width="7.88671875" style="325" customWidth="1"/>
    <col min="1805" max="1805" width="9.109375" style="325" customWidth="1"/>
    <col min="1806" max="1806" width="8" style="325" customWidth="1"/>
    <col min="1807" max="1807" width="7.5546875" style="325" customWidth="1"/>
    <col min="1808" max="1809" width="6.44140625" style="325" customWidth="1"/>
    <col min="1810" max="1810" width="7.6640625" style="325" customWidth="1"/>
    <col min="1811" max="1811" width="6.44140625" style="325" customWidth="1"/>
    <col min="1812" max="1812" width="7.5546875" style="325" customWidth="1"/>
    <col min="1813" max="1818" width="6.44140625" style="325" customWidth="1"/>
    <col min="1819" max="1819" width="5.44140625" style="325" customWidth="1"/>
    <col min="1820" max="1820" width="9" style="325" customWidth="1"/>
    <col min="1821" max="1821" width="9.5546875" style="325" customWidth="1"/>
    <col min="1822" max="1822" width="8.5546875" style="325" customWidth="1"/>
    <col min="1823" max="1823" width="7.44140625" style="325" customWidth="1"/>
    <col min="1824" max="1824" width="7.109375" style="325" customWidth="1"/>
    <col min="1825" max="1825" width="8.109375" style="325" customWidth="1"/>
    <col min="1826" max="1829" width="6.44140625" style="325" customWidth="1"/>
    <col min="1830" max="1830" width="9.33203125" style="325" customWidth="1"/>
    <col min="1831" max="1831" width="7.44140625" style="325" customWidth="1"/>
    <col min="1832" max="1832" width="8.6640625" style="325" customWidth="1"/>
    <col min="1833" max="1833" width="8.33203125" style="325" customWidth="1"/>
    <col min="1834" max="1834" width="7.109375" style="325" customWidth="1"/>
    <col min="1835" max="1835" width="9.109375" style="325" customWidth="1"/>
    <col min="1836" max="1836" width="7.5546875" style="325" customWidth="1"/>
    <col min="1837" max="1837" width="6.33203125" style="325" customWidth="1"/>
    <col min="1838" max="1838" width="8.33203125" style="325" customWidth="1"/>
    <col min="1839" max="1839" width="9.5546875" style="325" customWidth="1"/>
    <col min="1840" max="1840" width="7" style="325" customWidth="1"/>
    <col min="1841" max="1841" width="5.44140625" style="325" customWidth="1"/>
    <col min="1842" max="2048" width="11.44140625" style="325"/>
    <col min="2049" max="2049" width="4.44140625" style="325" customWidth="1"/>
    <col min="2050" max="2050" width="24.109375" style="325" customWidth="1"/>
    <col min="2051" max="2051" width="9.44140625" style="325" customWidth="1"/>
    <col min="2052" max="2052" width="8.88671875" style="325" customWidth="1"/>
    <col min="2053" max="2053" width="9.88671875" style="325" customWidth="1"/>
    <col min="2054" max="2054" width="9.109375" style="325" customWidth="1"/>
    <col min="2055" max="2055" width="8" style="325" customWidth="1"/>
    <col min="2056" max="2056" width="11" style="325" customWidth="1"/>
    <col min="2057" max="2058" width="7.5546875" style="325" customWidth="1"/>
    <col min="2059" max="2059" width="7.44140625" style="325" customWidth="1"/>
    <col min="2060" max="2060" width="7.88671875" style="325" customWidth="1"/>
    <col min="2061" max="2061" width="9.109375" style="325" customWidth="1"/>
    <col min="2062" max="2062" width="8" style="325" customWidth="1"/>
    <col min="2063" max="2063" width="7.5546875" style="325" customWidth="1"/>
    <col min="2064" max="2065" width="6.44140625" style="325" customWidth="1"/>
    <col min="2066" max="2066" width="7.6640625" style="325" customWidth="1"/>
    <col min="2067" max="2067" width="6.44140625" style="325" customWidth="1"/>
    <col min="2068" max="2068" width="7.5546875" style="325" customWidth="1"/>
    <col min="2069" max="2074" width="6.44140625" style="325" customWidth="1"/>
    <col min="2075" max="2075" width="5.44140625" style="325" customWidth="1"/>
    <col min="2076" max="2076" width="9" style="325" customWidth="1"/>
    <col min="2077" max="2077" width="9.5546875" style="325" customWidth="1"/>
    <col min="2078" max="2078" width="8.5546875" style="325" customWidth="1"/>
    <col min="2079" max="2079" width="7.44140625" style="325" customWidth="1"/>
    <col min="2080" max="2080" width="7.109375" style="325" customWidth="1"/>
    <col min="2081" max="2081" width="8.109375" style="325" customWidth="1"/>
    <col min="2082" max="2085" width="6.44140625" style="325" customWidth="1"/>
    <col min="2086" max="2086" width="9.33203125" style="325" customWidth="1"/>
    <col min="2087" max="2087" width="7.44140625" style="325" customWidth="1"/>
    <col min="2088" max="2088" width="8.6640625" style="325" customWidth="1"/>
    <col min="2089" max="2089" width="8.33203125" style="325" customWidth="1"/>
    <col min="2090" max="2090" width="7.109375" style="325" customWidth="1"/>
    <col min="2091" max="2091" width="9.109375" style="325" customWidth="1"/>
    <col min="2092" max="2092" width="7.5546875" style="325" customWidth="1"/>
    <col min="2093" max="2093" width="6.33203125" style="325" customWidth="1"/>
    <col min="2094" max="2094" width="8.33203125" style="325" customWidth="1"/>
    <col min="2095" max="2095" width="9.5546875" style="325" customWidth="1"/>
    <col min="2096" max="2096" width="7" style="325" customWidth="1"/>
    <col min="2097" max="2097" width="5.44140625" style="325" customWidth="1"/>
    <col min="2098" max="2304" width="11.44140625" style="325"/>
    <col min="2305" max="2305" width="4.44140625" style="325" customWidth="1"/>
    <col min="2306" max="2306" width="24.109375" style="325" customWidth="1"/>
    <col min="2307" max="2307" width="9.44140625" style="325" customWidth="1"/>
    <col min="2308" max="2308" width="8.88671875" style="325" customWidth="1"/>
    <col min="2309" max="2309" width="9.88671875" style="325" customWidth="1"/>
    <col min="2310" max="2310" width="9.109375" style="325" customWidth="1"/>
    <col min="2311" max="2311" width="8" style="325" customWidth="1"/>
    <col min="2312" max="2312" width="11" style="325" customWidth="1"/>
    <col min="2313" max="2314" width="7.5546875" style="325" customWidth="1"/>
    <col min="2315" max="2315" width="7.44140625" style="325" customWidth="1"/>
    <col min="2316" max="2316" width="7.88671875" style="325" customWidth="1"/>
    <col min="2317" max="2317" width="9.109375" style="325" customWidth="1"/>
    <col min="2318" max="2318" width="8" style="325" customWidth="1"/>
    <col min="2319" max="2319" width="7.5546875" style="325" customWidth="1"/>
    <col min="2320" max="2321" width="6.44140625" style="325" customWidth="1"/>
    <col min="2322" max="2322" width="7.6640625" style="325" customWidth="1"/>
    <col min="2323" max="2323" width="6.44140625" style="325" customWidth="1"/>
    <col min="2324" max="2324" width="7.5546875" style="325" customWidth="1"/>
    <col min="2325" max="2330" width="6.44140625" style="325" customWidth="1"/>
    <col min="2331" max="2331" width="5.44140625" style="325" customWidth="1"/>
    <col min="2332" max="2332" width="9" style="325" customWidth="1"/>
    <col min="2333" max="2333" width="9.5546875" style="325" customWidth="1"/>
    <col min="2334" max="2334" width="8.5546875" style="325" customWidth="1"/>
    <col min="2335" max="2335" width="7.44140625" style="325" customWidth="1"/>
    <col min="2336" max="2336" width="7.109375" style="325" customWidth="1"/>
    <col min="2337" max="2337" width="8.109375" style="325" customWidth="1"/>
    <col min="2338" max="2341" width="6.44140625" style="325" customWidth="1"/>
    <col min="2342" max="2342" width="9.33203125" style="325" customWidth="1"/>
    <col min="2343" max="2343" width="7.44140625" style="325" customWidth="1"/>
    <col min="2344" max="2344" width="8.6640625" style="325" customWidth="1"/>
    <col min="2345" max="2345" width="8.33203125" style="325" customWidth="1"/>
    <col min="2346" max="2346" width="7.109375" style="325" customWidth="1"/>
    <col min="2347" max="2347" width="9.109375" style="325" customWidth="1"/>
    <col min="2348" max="2348" width="7.5546875" style="325" customWidth="1"/>
    <col min="2349" max="2349" width="6.33203125" style="325" customWidth="1"/>
    <col min="2350" max="2350" width="8.33203125" style="325" customWidth="1"/>
    <col min="2351" max="2351" width="9.5546875" style="325" customWidth="1"/>
    <col min="2352" max="2352" width="7" style="325" customWidth="1"/>
    <col min="2353" max="2353" width="5.44140625" style="325" customWidth="1"/>
    <col min="2354" max="2560" width="11.44140625" style="325"/>
    <col min="2561" max="2561" width="4.44140625" style="325" customWidth="1"/>
    <col min="2562" max="2562" width="24.109375" style="325" customWidth="1"/>
    <col min="2563" max="2563" width="9.44140625" style="325" customWidth="1"/>
    <col min="2564" max="2564" width="8.88671875" style="325" customWidth="1"/>
    <col min="2565" max="2565" width="9.88671875" style="325" customWidth="1"/>
    <col min="2566" max="2566" width="9.109375" style="325" customWidth="1"/>
    <col min="2567" max="2567" width="8" style="325" customWidth="1"/>
    <col min="2568" max="2568" width="11" style="325" customWidth="1"/>
    <col min="2569" max="2570" width="7.5546875" style="325" customWidth="1"/>
    <col min="2571" max="2571" width="7.44140625" style="325" customWidth="1"/>
    <col min="2572" max="2572" width="7.88671875" style="325" customWidth="1"/>
    <col min="2573" max="2573" width="9.109375" style="325" customWidth="1"/>
    <col min="2574" max="2574" width="8" style="325" customWidth="1"/>
    <col min="2575" max="2575" width="7.5546875" style="325" customWidth="1"/>
    <col min="2576" max="2577" width="6.44140625" style="325" customWidth="1"/>
    <col min="2578" max="2578" width="7.6640625" style="325" customWidth="1"/>
    <col min="2579" max="2579" width="6.44140625" style="325" customWidth="1"/>
    <col min="2580" max="2580" width="7.5546875" style="325" customWidth="1"/>
    <col min="2581" max="2586" width="6.44140625" style="325" customWidth="1"/>
    <col min="2587" max="2587" width="5.44140625" style="325" customWidth="1"/>
    <col min="2588" max="2588" width="9" style="325" customWidth="1"/>
    <col min="2589" max="2589" width="9.5546875" style="325" customWidth="1"/>
    <col min="2590" max="2590" width="8.5546875" style="325" customWidth="1"/>
    <col min="2591" max="2591" width="7.44140625" style="325" customWidth="1"/>
    <col min="2592" max="2592" width="7.109375" style="325" customWidth="1"/>
    <col min="2593" max="2593" width="8.109375" style="325" customWidth="1"/>
    <col min="2594" max="2597" width="6.44140625" style="325" customWidth="1"/>
    <col min="2598" max="2598" width="9.33203125" style="325" customWidth="1"/>
    <col min="2599" max="2599" width="7.44140625" style="325" customWidth="1"/>
    <col min="2600" max="2600" width="8.6640625" style="325" customWidth="1"/>
    <col min="2601" max="2601" width="8.33203125" style="325" customWidth="1"/>
    <col min="2602" max="2602" width="7.109375" style="325" customWidth="1"/>
    <col min="2603" max="2603" width="9.109375" style="325" customWidth="1"/>
    <col min="2604" max="2604" width="7.5546875" style="325" customWidth="1"/>
    <col min="2605" max="2605" width="6.33203125" style="325" customWidth="1"/>
    <col min="2606" max="2606" width="8.33203125" style="325" customWidth="1"/>
    <col min="2607" max="2607" width="9.5546875" style="325" customWidth="1"/>
    <col min="2608" max="2608" width="7" style="325" customWidth="1"/>
    <col min="2609" max="2609" width="5.44140625" style="325" customWidth="1"/>
    <col min="2610" max="2816" width="11.44140625" style="325"/>
    <col min="2817" max="2817" width="4.44140625" style="325" customWidth="1"/>
    <col min="2818" max="2818" width="24.109375" style="325" customWidth="1"/>
    <col min="2819" max="2819" width="9.44140625" style="325" customWidth="1"/>
    <col min="2820" max="2820" width="8.88671875" style="325" customWidth="1"/>
    <col min="2821" max="2821" width="9.88671875" style="325" customWidth="1"/>
    <col min="2822" max="2822" width="9.109375" style="325" customWidth="1"/>
    <col min="2823" max="2823" width="8" style="325" customWidth="1"/>
    <col min="2824" max="2824" width="11" style="325" customWidth="1"/>
    <col min="2825" max="2826" width="7.5546875" style="325" customWidth="1"/>
    <col min="2827" max="2827" width="7.44140625" style="325" customWidth="1"/>
    <col min="2828" max="2828" width="7.88671875" style="325" customWidth="1"/>
    <col min="2829" max="2829" width="9.109375" style="325" customWidth="1"/>
    <col min="2830" max="2830" width="8" style="325" customWidth="1"/>
    <col min="2831" max="2831" width="7.5546875" style="325" customWidth="1"/>
    <col min="2832" max="2833" width="6.44140625" style="325" customWidth="1"/>
    <col min="2834" max="2834" width="7.6640625" style="325" customWidth="1"/>
    <col min="2835" max="2835" width="6.44140625" style="325" customWidth="1"/>
    <col min="2836" max="2836" width="7.5546875" style="325" customWidth="1"/>
    <col min="2837" max="2842" width="6.44140625" style="325" customWidth="1"/>
    <col min="2843" max="2843" width="5.44140625" style="325" customWidth="1"/>
    <col min="2844" max="2844" width="9" style="325" customWidth="1"/>
    <col min="2845" max="2845" width="9.5546875" style="325" customWidth="1"/>
    <col min="2846" max="2846" width="8.5546875" style="325" customWidth="1"/>
    <col min="2847" max="2847" width="7.44140625" style="325" customWidth="1"/>
    <col min="2848" max="2848" width="7.109375" style="325" customWidth="1"/>
    <col min="2849" max="2849" width="8.109375" style="325" customWidth="1"/>
    <col min="2850" max="2853" width="6.44140625" style="325" customWidth="1"/>
    <col min="2854" max="2854" width="9.33203125" style="325" customWidth="1"/>
    <col min="2855" max="2855" width="7.44140625" style="325" customWidth="1"/>
    <col min="2856" max="2856" width="8.6640625" style="325" customWidth="1"/>
    <col min="2857" max="2857" width="8.33203125" style="325" customWidth="1"/>
    <col min="2858" max="2858" width="7.109375" style="325" customWidth="1"/>
    <col min="2859" max="2859" width="9.109375" style="325" customWidth="1"/>
    <col min="2860" max="2860" width="7.5546875" style="325" customWidth="1"/>
    <col min="2861" max="2861" width="6.33203125" style="325" customWidth="1"/>
    <col min="2862" max="2862" width="8.33203125" style="325" customWidth="1"/>
    <col min="2863" max="2863" width="9.5546875" style="325" customWidth="1"/>
    <col min="2864" max="2864" width="7" style="325" customWidth="1"/>
    <col min="2865" max="2865" width="5.44140625" style="325" customWidth="1"/>
    <col min="2866" max="3072" width="11.44140625" style="325"/>
    <col min="3073" max="3073" width="4.44140625" style="325" customWidth="1"/>
    <col min="3074" max="3074" width="24.109375" style="325" customWidth="1"/>
    <col min="3075" max="3075" width="9.44140625" style="325" customWidth="1"/>
    <col min="3076" max="3076" width="8.88671875" style="325" customWidth="1"/>
    <col min="3077" max="3077" width="9.88671875" style="325" customWidth="1"/>
    <col min="3078" max="3078" width="9.109375" style="325" customWidth="1"/>
    <col min="3079" max="3079" width="8" style="325" customWidth="1"/>
    <col min="3080" max="3080" width="11" style="325" customWidth="1"/>
    <col min="3081" max="3082" width="7.5546875" style="325" customWidth="1"/>
    <col min="3083" max="3083" width="7.44140625" style="325" customWidth="1"/>
    <col min="3084" max="3084" width="7.88671875" style="325" customWidth="1"/>
    <col min="3085" max="3085" width="9.109375" style="325" customWidth="1"/>
    <col min="3086" max="3086" width="8" style="325" customWidth="1"/>
    <col min="3087" max="3087" width="7.5546875" style="325" customWidth="1"/>
    <col min="3088" max="3089" width="6.44140625" style="325" customWidth="1"/>
    <col min="3090" max="3090" width="7.6640625" style="325" customWidth="1"/>
    <col min="3091" max="3091" width="6.44140625" style="325" customWidth="1"/>
    <col min="3092" max="3092" width="7.5546875" style="325" customWidth="1"/>
    <col min="3093" max="3098" width="6.44140625" style="325" customWidth="1"/>
    <col min="3099" max="3099" width="5.44140625" style="325" customWidth="1"/>
    <col min="3100" max="3100" width="9" style="325" customWidth="1"/>
    <col min="3101" max="3101" width="9.5546875" style="325" customWidth="1"/>
    <col min="3102" max="3102" width="8.5546875" style="325" customWidth="1"/>
    <col min="3103" max="3103" width="7.44140625" style="325" customWidth="1"/>
    <col min="3104" max="3104" width="7.109375" style="325" customWidth="1"/>
    <col min="3105" max="3105" width="8.109375" style="325" customWidth="1"/>
    <col min="3106" max="3109" width="6.44140625" style="325" customWidth="1"/>
    <col min="3110" max="3110" width="9.33203125" style="325" customWidth="1"/>
    <col min="3111" max="3111" width="7.44140625" style="325" customWidth="1"/>
    <col min="3112" max="3112" width="8.6640625" style="325" customWidth="1"/>
    <col min="3113" max="3113" width="8.33203125" style="325" customWidth="1"/>
    <col min="3114" max="3114" width="7.109375" style="325" customWidth="1"/>
    <col min="3115" max="3115" width="9.109375" style="325" customWidth="1"/>
    <col min="3116" max="3116" width="7.5546875" style="325" customWidth="1"/>
    <col min="3117" max="3117" width="6.33203125" style="325" customWidth="1"/>
    <col min="3118" max="3118" width="8.33203125" style="325" customWidth="1"/>
    <col min="3119" max="3119" width="9.5546875" style="325" customWidth="1"/>
    <col min="3120" max="3120" width="7" style="325" customWidth="1"/>
    <col min="3121" max="3121" width="5.44140625" style="325" customWidth="1"/>
    <col min="3122" max="3328" width="11.44140625" style="325"/>
    <col min="3329" max="3329" width="4.44140625" style="325" customWidth="1"/>
    <col min="3330" max="3330" width="24.109375" style="325" customWidth="1"/>
    <col min="3331" max="3331" width="9.44140625" style="325" customWidth="1"/>
    <col min="3332" max="3332" width="8.88671875" style="325" customWidth="1"/>
    <col min="3333" max="3333" width="9.88671875" style="325" customWidth="1"/>
    <col min="3334" max="3334" width="9.109375" style="325" customWidth="1"/>
    <col min="3335" max="3335" width="8" style="325" customWidth="1"/>
    <col min="3336" max="3336" width="11" style="325" customWidth="1"/>
    <col min="3337" max="3338" width="7.5546875" style="325" customWidth="1"/>
    <col min="3339" max="3339" width="7.44140625" style="325" customWidth="1"/>
    <col min="3340" max="3340" width="7.88671875" style="325" customWidth="1"/>
    <col min="3341" max="3341" width="9.109375" style="325" customWidth="1"/>
    <col min="3342" max="3342" width="8" style="325" customWidth="1"/>
    <col min="3343" max="3343" width="7.5546875" style="325" customWidth="1"/>
    <col min="3344" max="3345" width="6.44140625" style="325" customWidth="1"/>
    <col min="3346" max="3346" width="7.6640625" style="325" customWidth="1"/>
    <col min="3347" max="3347" width="6.44140625" style="325" customWidth="1"/>
    <col min="3348" max="3348" width="7.5546875" style="325" customWidth="1"/>
    <col min="3349" max="3354" width="6.44140625" style="325" customWidth="1"/>
    <col min="3355" max="3355" width="5.44140625" style="325" customWidth="1"/>
    <col min="3356" max="3356" width="9" style="325" customWidth="1"/>
    <col min="3357" max="3357" width="9.5546875" style="325" customWidth="1"/>
    <col min="3358" max="3358" width="8.5546875" style="325" customWidth="1"/>
    <col min="3359" max="3359" width="7.44140625" style="325" customWidth="1"/>
    <col min="3360" max="3360" width="7.109375" style="325" customWidth="1"/>
    <col min="3361" max="3361" width="8.109375" style="325" customWidth="1"/>
    <col min="3362" max="3365" width="6.44140625" style="325" customWidth="1"/>
    <col min="3366" max="3366" width="9.33203125" style="325" customWidth="1"/>
    <col min="3367" max="3367" width="7.44140625" style="325" customWidth="1"/>
    <col min="3368" max="3368" width="8.6640625" style="325" customWidth="1"/>
    <col min="3369" max="3369" width="8.33203125" style="325" customWidth="1"/>
    <col min="3370" max="3370" width="7.109375" style="325" customWidth="1"/>
    <col min="3371" max="3371" width="9.109375" style="325" customWidth="1"/>
    <col min="3372" max="3372" width="7.5546875" style="325" customWidth="1"/>
    <col min="3373" max="3373" width="6.33203125" style="325" customWidth="1"/>
    <col min="3374" max="3374" width="8.33203125" style="325" customWidth="1"/>
    <col min="3375" max="3375" width="9.5546875" style="325" customWidth="1"/>
    <col min="3376" max="3376" width="7" style="325" customWidth="1"/>
    <col min="3377" max="3377" width="5.44140625" style="325" customWidth="1"/>
    <col min="3378" max="3584" width="11.44140625" style="325"/>
    <col min="3585" max="3585" width="4.44140625" style="325" customWidth="1"/>
    <col min="3586" max="3586" width="24.109375" style="325" customWidth="1"/>
    <col min="3587" max="3587" width="9.44140625" style="325" customWidth="1"/>
    <col min="3588" max="3588" width="8.88671875" style="325" customWidth="1"/>
    <col min="3589" max="3589" width="9.88671875" style="325" customWidth="1"/>
    <col min="3590" max="3590" width="9.109375" style="325" customWidth="1"/>
    <col min="3591" max="3591" width="8" style="325" customWidth="1"/>
    <col min="3592" max="3592" width="11" style="325" customWidth="1"/>
    <col min="3593" max="3594" width="7.5546875" style="325" customWidth="1"/>
    <col min="3595" max="3595" width="7.44140625" style="325" customWidth="1"/>
    <col min="3596" max="3596" width="7.88671875" style="325" customWidth="1"/>
    <col min="3597" max="3597" width="9.109375" style="325" customWidth="1"/>
    <col min="3598" max="3598" width="8" style="325" customWidth="1"/>
    <col min="3599" max="3599" width="7.5546875" style="325" customWidth="1"/>
    <col min="3600" max="3601" width="6.44140625" style="325" customWidth="1"/>
    <col min="3602" max="3602" width="7.6640625" style="325" customWidth="1"/>
    <col min="3603" max="3603" width="6.44140625" style="325" customWidth="1"/>
    <col min="3604" max="3604" width="7.5546875" style="325" customWidth="1"/>
    <col min="3605" max="3610" width="6.44140625" style="325" customWidth="1"/>
    <col min="3611" max="3611" width="5.44140625" style="325" customWidth="1"/>
    <col min="3612" max="3612" width="9" style="325" customWidth="1"/>
    <col min="3613" max="3613" width="9.5546875" style="325" customWidth="1"/>
    <col min="3614" max="3614" width="8.5546875" style="325" customWidth="1"/>
    <col min="3615" max="3615" width="7.44140625" style="325" customWidth="1"/>
    <col min="3616" max="3616" width="7.109375" style="325" customWidth="1"/>
    <col min="3617" max="3617" width="8.109375" style="325" customWidth="1"/>
    <col min="3618" max="3621" width="6.44140625" style="325" customWidth="1"/>
    <col min="3622" max="3622" width="9.33203125" style="325" customWidth="1"/>
    <col min="3623" max="3623" width="7.44140625" style="325" customWidth="1"/>
    <col min="3624" max="3624" width="8.6640625" style="325" customWidth="1"/>
    <col min="3625" max="3625" width="8.33203125" style="325" customWidth="1"/>
    <col min="3626" max="3626" width="7.109375" style="325" customWidth="1"/>
    <col min="3627" max="3627" width="9.109375" style="325" customWidth="1"/>
    <col min="3628" max="3628" width="7.5546875" style="325" customWidth="1"/>
    <col min="3629" max="3629" width="6.33203125" style="325" customWidth="1"/>
    <col min="3630" max="3630" width="8.33203125" style="325" customWidth="1"/>
    <col min="3631" max="3631" width="9.5546875" style="325" customWidth="1"/>
    <col min="3632" max="3632" width="7" style="325" customWidth="1"/>
    <col min="3633" max="3633" width="5.44140625" style="325" customWidth="1"/>
    <col min="3634" max="3840" width="11.44140625" style="325"/>
    <col min="3841" max="3841" width="4.44140625" style="325" customWidth="1"/>
    <col min="3842" max="3842" width="24.109375" style="325" customWidth="1"/>
    <col min="3843" max="3843" width="9.44140625" style="325" customWidth="1"/>
    <col min="3844" max="3844" width="8.88671875" style="325" customWidth="1"/>
    <col min="3845" max="3845" width="9.88671875" style="325" customWidth="1"/>
    <col min="3846" max="3846" width="9.109375" style="325" customWidth="1"/>
    <col min="3847" max="3847" width="8" style="325" customWidth="1"/>
    <col min="3848" max="3848" width="11" style="325" customWidth="1"/>
    <col min="3849" max="3850" width="7.5546875" style="325" customWidth="1"/>
    <col min="3851" max="3851" width="7.44140625" style="325" customWidth="1"/>
    <col min="3852" max="3852" width="7.88671875" style="325" customWidth="1"/>
    <col min="3853" max="3853" width="9.109375" style="325" customWidth="1"/>
    <col min="3854" max="3854" width="8" style="325" customWidth="1"/>
    <col min="3855" max="3855" width="7.5546875" style="325" customWidth="1"/>
    <col min="3856" max="3857" width="6.44140625" style="325" customWidth="1"/>
    <col min="3858" max="3858" width="7.6640625" style="325" customWidth="1"/>
    <col min="3859" max="3859" width="6.44140625" style="325" customWidth="1"/>
    <col min="3860" max="3860" width="7.5546875" style="325" customWidth="1"/>
    <col min="3861" max="3866" width="6.44140625" style="325" customWidth="1"/>
    <col min="3867" max="3867" width="5.44140625" style="325" customWidth="1"/>
    <col min="3868" max="3868" width="9" style="325" customWidth="1"/>
    <col min="3869" max="3869" width="9.5546875" style="325" customWidth="1"/>
    <col min="3870" max="3870" width="8.5546875" style="325" customWidth="1"/>
    <col min="3871" max="3871" width="7.44140625" style="325" customWidth="1"/>
    <col min="3872" max="3872" width="7.109375" style="325" customWidth="1"/>
    <col min="3873" max="3873" width="8.109375" style="325" customWidth="1"/>
    <col min="3874" max="3877" width="6.44140625" style="325" customWidth="1"/>
    <col min="3878" max="3878" width="9.33203125" style="325" customWidth="1"/>
    <col min="3879" max="3879" width="7.44140625" style="325" customWidth="1"/>
    <col min="3880" max="3880" width="8.6640625" style="325" customWidth="1"/>
    <col min="3881" max="3881" width="8.33203125" style="325" customWidth="1"/>
    <col min="3882" max="3882" width="7.109375" style="325" customWidth="1"/>
    <col min="3883" max="3883" width="9.109375" style="325" customWidth="1"/>
    <col min="3884" max="3884" width="7.5546875" style="325" customWidth="1"/>
    <col min="3885" max="3885" width="6.33203125" style="325" customWidth="1"/>
    <col min="3886" max="3886" width="8.33203125" style="325" customWidth="1"/>
    <col min="3887" max="3887" width="9.5546875" style="325" customWidth="1"/>
    <col min="3888" max="3888" width="7" style="325" customWidth="1"/>
    <col min="3889" max="3889" width="5.44140625" style="325" customWidth="1"/>
    <col min="3890" max="4096" width="11.44140625" style="325"/>
    <col min="4097" max="4097" width="4.44140625" style="325" customWidth="1"/>
    <col min="4098" max="4098" width="24.109375" style="325" customWidth="1"/>
    <col min="4099" max="4099" width="9.44140625" style="325" customWidth="1"/>
    <col min="4100" max="4100" width="8.88671875" style="325" customWidth="1"/>
    <col min="4101" max="4101" width="9.88671875" style="325" customWidth="1"/>
    <col min="4102" max="4102" width="9.109375" style="325" customWidth="1"/>
    <col min="4103" max="4103" width="8" style="325" customWidth="1"/>
    <col min="4104" max="4104" width="11" style="325" customWidth="1"/>
    <col min="4105" max="4106" width="7.5546875" style="325" customWidth="1"/>
    <col min="4107" max="4107" width="7.44140625" style="325" customWidth="1"/>
    <col min="4108" max="4108" width="7.88671875" style="325" customWidth="1"/>
    <col min="4109" max="4109" width="9.109375" style="325" customWidth="1"/>
    <col min="4110" max="4110" width="8" style="325" customWidth="1"/>
    <col min="4111" max="4111" width="7.5546875" style="325" customWidth="1"/>
    <col min="4112" max="4113" width="6.44140625" style="325" customWidth="1"/>
    <col min="4114" max="4114" width="7.6640625" style="325" customWidth="1"/>
    <col min="4115" max="4115" width="6.44140625" style="325" customWidth="1"/>
    <col min="4116" max="4116" width="7.5546875" style="325" customWidth="1"/>
    <col min="4117" max="4122" width="6.44140625" style="325" customWidth="1"/>
    <col min="4123" max="4123" width="5.44140625" style="325" customWidth="1"/>
    <col min="4124" max="4124" width="9" style="325" customWidth="1"/>
    <col min="4125" max="4125" width="9.5546875" style="325" customWidth="1"/>
    <col min="4126" max="4126" width="8.5546875" style="325" customWidth="1"/>
    <col min="4127" max="4127" width="7.44140625" style="325" customWidth="1"/>
    <col min="4128" max="4128" width="7.109375" style="325" customWidth="1"/>
    <col min="4129" max="4129" width="8.109375" style="325" customWidth="1"/>
    <col min="4130" max="4133" width="6.44140625" style="325" customWidth="1"/>
    <col min="4134" max="4134" width="9.33203125" style="325" customWidth="1"/>
    <col min="4135" max="4135" width="7.44140625" style="325" customWidth="1"/>
    <col min="4136" max="4136" width="8.6640625" style="325" customWidth="1"/>
    <col min="4137" max="4137" width="8.33203125" style="325" customWidth="1"/>
    <col min="4138" max="4138" width="7.109375" style="325" customWidth="1"/>
    <col min="4139" max="4139" width="9.109375" style="325" customWidth="1"/>
    <col min="4140" max="4140" width="7.5546875" style="325" customWidth="1"/>
    <col min="4141" max="4141" width="6.33203125" style="325" customWidth="1"/>
    <col min="4142" max="4142" width="8.33203125" style="325" customWidth="1"/>
    <col min="4143" max="4143" width="9.5546875" style="325" customWidth="1"/>
    <col min="4144" max="4144" width="7" style="325" customWidth="1"/>
    <col min="4145" max="4145" width="5.44140625" style="325" customWidth="1"/>
    <col min="4146" max="4352" width="11.44140625" style="325"/>
    <col min="4353" max="4353" width="4.44140625" style="325" customWidth="1"/>
    <col min="4354" max="4354" width="24.109375" style="325" customWidth="1"/>
    <col min="4355" max="4355" width="9.44140625" style="325" customWidth="1"/>
    <col min="4356" max="4356" width="8.88671875" style="325" customWidth="1"/>
    <col min="4357" max="4357" width="9.88671875" style="325" customWidth="1"/>
    <col min="4358" max="4358" width="9.109375" style="325" customWidth="1"/>
    <col min="4359" max="4359" width="8" style="325" customWidth="1"/>
    <col min="4360" max="4360" width="11" style="325" customWidth="1"/>
    <col min="4361" max="4362" width="7.5546875" style="325" customWidth="1"/>
    <col min="4363" max="4363" width="7.44140625" style="325" customWidth="1"/>
    <col min="4364" max="4364" width="7.88671875" style="325" customWidth="1"/>
    <col min="4365" max="4365" width="9.109375" style="325" customWidth="1"/>
    <col min="4366" max="4366" width="8" style="325" customWidth="1"/>
    <col min="4367" max="4367" width="7.5546875" style="325" customWidth="1"/>
    <col min="4368" max="4369" width="6.44140625" style="325" customWidth="1"/>
    <col min="4370" max="4370" width="7.6640625" style="325" customWidth="1"/>
    <col min="4371" max="4371" width="6.44140625" style="325" customWidth="1"/>
    <col min="4372" max="4372" width="7.5546875" style="325" customWidth="1"/>
    <col min="4373" max="4378" width="6.44140625" style="325" customWidth="1"/>
    <col min="4379" max="4379" width="5.44140625" style="325" customWidth="1"/>
    <col min="4380" max="4380" width="9" style="325" customWidth="1"/>
    <col min="4381" max="4381" width="9.5546875" style="325" customWidth="1"/>
    <col min="4382" max="4382" width="8.5546875" style="325" customWidth="1"/>
    <col min="4383" max="4383" width="7.44140625" style="325" customWidth="1"/>
    <col min="4384" max="4384" width="7.109375" style="325" customWidth="1"/>
    <col min="4385" max="4385" width="8.109375" style="325" customWidth="1"/>
    <col min="4386" max="4389" width="6.44140625" style="325" customWidth="1"/>
    <col min="4390" max="4390" width="9.33203125" style="325" customWidth="1"/>
    <col min="4391" max="4391" width="7.44140625" style="325" customWidth="1"/>
    <col min="4392" max="4392" width="8.6640625" style="325" customWidth="1"/>
    <col min="4393" max="4393" width="8.33203125" style="325" customWidth="1"/>
    <col min="4394" max="4394" width="7.109375" style="325" customWidth="1"/>
    <col min="4395" max="4395" width="9.109375" style="325" customWidth="1"/>
    <col min="4396" max="4396" width="7.5546875" style="325" customWidth="1"/>
    <col min="4397" max="4397" width="6.33203125" style="325" customWidth="1"/>
    <col min="4398" max="4398" width="8.33203125" style="325" customWidth="1"/>
    <col min="4399" max="4399" width="9.5546875" style="325" customWidth="1"/>
    <col min="4400" max="4400" width="7" style="325" customWidth="1"/>
    <col min="4401" max="4401" width="5.44140625" style="325" customWidth="1"/>
    <col min="4402" max="4608" width="11.44140625" style="325"/>
    <col min="4609" max="4609" width="4.44140625" style="325" customWidth="1"/>
    <col min="4610" max="4610" width="24.109375" style="325" customWidth="1"/>
    <col min="4611" max="4611" width="9.44140625" style="325" customWidth="1"/>
    <col min="4612" max="4612" width="8.88671875" style="325" customWidth="1"/>
    <col min="4613" max="4613" width="9.88671875" style="325" customWidth="1"/>
    <col min="4614" max="4614" width="9.109375" style="325" customWidth="1"/>
    <col min="4615" max="4615" width="8" style="325" customWidth="1"/>
    <col min="4616" max="4616" width="11" style="325" customWidth="1"/>
    <col min="4617" max="4618" width="7.5546875" style="325" customWidth="1"/>
    <col min="4619" max="4619" width="7.44140625" style="325" customWidth="1"/>
    <col min="4620" max="4620" width="7.88671875" style="325" customWidth="1"/>
    <col min="4621" max="4621" width="9.109375" style="325" customWidth="1"/>
    <col min="4622" max="4622" width="8" style="325" customWidth="1"/>
    <col min="4623" max="4623" width="7.5546875" style="325" customWidth="1"/>
    <col min="4624" max="4625" width="6.44140625" style="325" customWidth="1"/>
    <col min="4626" max="4626" width="7.6640625" style="325" customWidth="1"/>
    <col min="4627" max="4627" width="6.44140625" style="325" customWidth="1"/>
    <col min="4628" max="4628" width="7.5546875" style="325" customWidth="1"/>
    <col min="4629" max="4634" width="6.44140625" style="325" customWidth="1"/>
    <col min="4635" max="4635" width="5.44140625" style="325" customWidth="1"/>
    <col min="4636" max="4636" width="9" style="325" customWidth="1"/>
    <col min="4637" max="4637" width="9.5546875" style="325" customWidth="1"/>
    <col min="4638" max="4638" width="8.5546875" style="325" customWidth="1"/>
    <col min="4639" max="4639" width="7.44140625" style="325" customWidth="1"/>
    <col min="4640" max="4640" width="7.109375" style="325" customWidth="1"/>
    <col min="4641" max="4641" width="8.109375" style="325" customWidth="1"/>
    <col min="4642" max="4645" width="6.44140625" style="325" customWidth="1"/>
    <col min="4646" max="4646" width="9.33203125" style="325" customWidth="1"/>
    <col min="4647" max="4647" width="7.44140625" style="325" customWidth="1"/>
    <col min="4648" max="4648" width="8.6640625" style="325" customWidth="1"/>
    <col min="4649" max="4649" width="8.33203125" style="325" customWidth="1"/>
    <col min="4650" max="4650" width="7.109375" style="325" customWidth="1"/>
    <col min="4651" max="4651" width="9.109375" style="325" customWidth="1"/>
    <col min="4652" max="4652" width="7.5546875" style="325" customWidth="1"/>
    <col min="4653" max="4653" width="6.33203125" style="325" customWidth="1"/>
    <col min="4654" max="4654" width="8.33203125" style="325" customWidth="1"/>
    <col min="4655" max="4655" width="9.5546875" style="325" customWidth="1"/>
    <col min="4656" max="4656" width="7" style="325" customWidth="1"/>
    <col min="4657" max="4657" width="5.44140625" style="325" customWidth="1"/>
    <col min="4658" max="4864" width="11.44140625" style="325"/>
    <col min="4865" max="4865" width="4.44140625" style="325" customWidth="1"/>
    <col min="4866" max="4866" width="24.109375" style="325" customWidth="1"/>
    <col min="4867" max="4867" width="9.44140625" style="325" customWidth="1"/>
    <col min="4868" max="4868" width="8.88671875" style="325" customWidth="1"/>
    <col min="4869" max="4869" width="9.88671875" style="325" customWidth="1"/>
    <col min="4870" max="4870" width="9.109375" style="325" customWidth="1"/>
    <col min="4871" max="4871" width="8" style="325" customWidth="1"/>
    <col min="4872" max="4872" width="11" style="325" customWidth="1"/>
    <col min="4873" max="4874" width="7.5546875" style="325" customWidth="1"/>
    <col min="4875" max="4875" width="7.44140625" style="325" customWidth="1"/>
    <col min="4876" max="4876" width="7.88671875" style="325" customWidth="1"/>
    <col min="4877" max="4877" width="9.109375" style="325" customWidth="1"/>
    <col min="4878" max="4878" width="8" style="325" customWidth="1"/>
    <col min="4879" max="4879" width="7.5546875" style="325" customWidth="1"/>
    <col min="4880" max="4881" width="6.44140625" style="325" customWidth="1"/>
    <col min="4882" max="4882" width="7.6640625" style="325" customWidth="1"/>
    <col min="4883" max="4883" width="6.44140625" style="325" customWidth="1"/>
    <col min="4884" max="4884" width="7.5546875" style="325" customWidth="1"/>
    <col min="4885" max="4890" width="6.44140625" style="325" customWidth="1"/>
    <col min="4891" max="4891" width="5.44140625" style="325" customWidth="1"/>
    <col min="4892" max="4892" width="9" style="325" customWidth="1"/>
    <col min="4893" max="4893" width="9.5546875" style="325" customWidth="1"/>
    <col min="4894" max="4894" width="8.5546875" style="325" customWidth="1"/>
    <col min="4895" max="4895" width="7.44140625" style="325" customWidth="1"/>
    <col min="4896" max="4896" width="7.109375" style="325" customWidth="1"/>
    <col min="4897" max="4897" width="8.109375" style="325" customWidth="1"/>
    <col min="4898" max="4901" width="6.44140625" style="325" customWidth="1"/>
    <col min="4902" max="4902" width="9.33203125" style="325" customWidth="1"/>
    <col min="4903" max="4903" width="7.44140625" style="325" customWidth="1"/>
    <col min="4904" max="4904" width="8.6640625" style="325" customWidth="1"/>
    <col min="4905" max="4905" width="8.33203125" style="325" customWidth="1"/>
    <col min="4906" max="4906" width="7.109375" style="325" customWidth="1"/>
    <col min="4907" max="4907" width="9.109375" style="325" customWidth="1"/>
    <col min="4908" max="4908" width="7.5546875" style="325" customWidth="1"/>
    <col min="4909" max="4909" width="6.33203125" style="325" customWidth="1"/>
    <col min="4910" max="4910" width="8.33203125" style="325" customWidth="1"/>
    <col min="4911" max="4911" width="9.5546875" style="325" customWidth="1"/>
    <col min="4912" max="4912" width="7" style="325" customWidth="1"/>
    <col min="4913" max="4913" width="5.44140625" style="325" customWidth="1"/>
    <col min="4914" max="5120" width="11.44140625" style="325"/>
    <col min="5121" max="5121" width="4.44140625" style="325" customWidth="1"/>
    <col min="5122" max="5122" width="24.109375" style="325" customWidth="1"/>
    <col min="5123" max="5123" width="9.44140625" style="325" customWidth="1"/>
    <col min="5124" max="5124" width="8.88671875" style="325" customWidth="1"/>
    <col min="5125" max="5125" width="9.88671875" style="325" customWidth="1"/>
    <col min="5126" max="5126" width="9.109375" style="325" customWidth="1"/>
    <col min="5127" max="5127" width="8" style="325" customWidth="1"/>
    <col min="5128" max="5128" width="11" style="325" customWidth="1"/>
    <col min="5129" max="5130" width="7.5546875" style="325" customWidth="1"/>
    <col min="5131" max="5131" width="7.44140625" style="325" customWidth="1"/>
    <col min="5132" max="5132" width="7.88671875" style="325" customWidth="1"/>
    <col min="5133" max="5133" width="9.109375" style="325" customWidth="1"/>
    <col min="5134" max="5134" width="8" style="325" customWidth="1"/>
    <col min="5135" max="5135" width="7.5546875" style="325" customWidth="1"/>
    <col min="5136" max="5137" width="6.44140625" style="325" customWidth="1"/>
    <col min="5138" max="5138" width="7.6640625" style="325" customWidth="1"/>
    <col min="5139" max="5139" width="6.44140625" style="325" customWidth="1"/>
    <col min="5140" max="5140" width="7.5546875" style="325" customWidth="1"/>
    <col min="5141" max="5146" width="6.44140625" style="325" customWidth="1"/>
    <col min="5147" max="5147" width="5.44140625" style="325" customWidth="1"/>
    <col min="5148" max="5148" width="9" style="325" customWidth="1"/>
    <col min="5149" max="5149" width="9.5546875" style="325" customWidth="1"/>
    <col min="5150" max="5150" width="8.5546875" style="325" customWidth="1"/>
    <col min="5151" max="5151" width="7.44140625" style="325" customWidth="1"/>
    <col min="5152" max="5152" width="7.109375" style="325" customWidth="1"/>
    <col min="5153" max="5153" width="8.109375" style="325" customWidth="1"/>
    <col min="5154" max="5157" width="6.44140625" style="325" customWidth="1"/>
    <col min="5158" max="5158" width="9.33203125" style="325" customWidth="1"/>
    <col min="5159" max="5159" width="7.44140625" style="325" customWidth="1"/>
    <col min="5160" max="5160" width="8.6640625" style="325" customWidth="1"/>
    <col min="5161" max="5161" width="8.33203125" style="325" customWidth="1"/>
    <col min="5162" max="5162" width="7.109375" style="325" customWidth="1"/>
    <col min="5163" max="5163" width="9.109375" style="325" customWidth="1"/>
    <col min="5164" max="5164" width="7.5546875" style="325" customWidth="1"/>
    <col min="5165" max="5165" width="6.33203125" style="325" customWidth="1"/>
    <col min="5166" max="5166" width="8.33203125" style="325" customWidth="1"/>
    <col min="5167" max="5167" width="9.5546875" style="325" customWidth="1"/>
    <col min="5168" max="5168" width="7" style="325" customWidth="1"/>
    <col min="5169" max="5169" width="5.44140625" style="325" customWidth="1"/>
    <col min="5170" max="5376" width="11.44140625" style="325"/>
    <col min="5377" max="5377" width="4.44140625" style="325" customWidth="1"/>
    <col min="5378" max="5378" width="24.109375" style="325" customWidth="1"/>
    <col min="5379" max="5379" width="9.44140625" style="325" customWidth="1"/>
    <col min="5380" max="5380" width="8.88671875" style="325" customWidth="1"/>
    <col min="5381" max="5381" width="9.88671875" style="325" customWidth="1"/>
    <col min="5382" max="5382" width="9.109375" style="325" customWidth="1"/>
    <col min="5383" max="5383" width="8" style="325" customWidth="1"/>
    <col min="5384" max="5384" width="11" style="325" customWidth="1"/>
    <col min="5385" max="5386" width="7.5546875" style="325" customWidth="1"/>
    <col min="5387" max="5387" width="7.44140625" style="325" customWidth="1"/>
    <col min="5388" max="5388" width="7.88671875" style="325" customWidth="1"/>
    <col min="5389" max="5389" width="9.109375" style="325" customWidth="1"/>
    <col min="5390" max="5390" width="8" style="325" customWidth="1"/>
    <col min="5391" max="5391" width="7.5546875" style="325" customWidth="1"/>
    <col min="5392" max="5393" width="6.44140625" style="325" customWidth="1"/>
    <col min="5394" max="5394" width="7.6640625" style="325" customWidth="1"/>
    <col min="5395" max="5395" width="6.44140625" style="325" customWidth="1"/>
    <col min="5396" max="5396" width="7.5546875" style="325" customWidth="1"/>
    <col min="5397" max="5402" width="6.44140625" style="325" customWidth="1"/>
    <col min="5403" max="5403" width="5.44140625" style="325" customWidth="1"/>
    <col min="5404" max="5404" width="9" style="325" customWidth="1"/>
    <col min="5405" max="5405" width="9.5546875" style="325" customWidth="1"/>
    <col min="5406" max="5406" width="8.5546875" style="325" customWidth="1"/>
    <col min="5407" max="5407" width="7.44140625" style="325" customWidth="1"/>
    <col min="5408" max="5408" width="7.109375" style="325" customWidth="1"/>
    <col min="5409" max="5409" width="8.109375" style="325" customWidth="1"/>
    <col min="5410" max="5413" width="6.44140625" style="325" customWidth="1"/>
    <col min="5414" max="5414" width="9.33203125" style="325" customWidth="1"/>
    <col min="5415" max="5415" width="7.44140625" style="325" customWidth="1"/>
    <col min="5416" max="5416" width="8.6640625" style="325" customWidth="1"/>
    <col min="5417" max="5417" width="8.33203125" style="325" customWidth="1"/>
    <col min="5418" max="5418" width="7.109375" style="325" customWidth="1"/>
    <col min="5419" max="5419" width="9.109375" style="325" customWidth="1"/>
    <col min="5420" max="5420" width="7.5546875" style="325" customWidth="1"/>
    <col min="5421" max="5421" width="6.33203125" style="325" customWidth="1"/>
    <col min="5422" max="5422" width="8.33203125" style="325" customWidth="1"/>
    <col min="5423" max="5423" width="9.5546875" style="325" customWidth="1"/>
    <col min="5424" max="5424" width="7" style="325" customWidth="1"/>
    <col min="5425" max="5425" width="5.44140625" style="325" customWidth="1"/>
    <col min="5426" max="5632" width="11.44140625" style="325"/>
    <col min="5633" max="5633" width="4.44140625" style="325" customWidth="1"/>
    <col min="5634" max="5634" width="24.109375" style="325" customWidth="1"/>
    <col min="5635" max="5635" width="9.44140625" style="325" customWidth="1"/>
    <col min="5636" max="5636" width="8.88671875" style="325" customWidth="1"/>
    <col min="5637" max="5637" width="9.88671875" style="325" customWidth="1"/>
    <col min="5638" max="5638" width="9.109375" style="325" customWidth="1"/>
    <col min="5639" max="5639" width="8" style="325" customWidth="1"/>
    <col min="5640" max="5640" width="11" style="325" customWidth="1"/>
    <col min="5641" max="5642" width="7.5546875" style="325" customWidth="1"/>
    <col min="5643" max="5643" width="7.44140625" style="325" customWidth="1"/>
    <col min="5644" max="5644" width="7.88671875" style="325" customWidth="1"/>
    <col min="5645" max="5645" width="9.109375" style="325" customWidth="1"/>
    <col min="5646" max="5646" width="8" style="325" customWidth="1"/>
    <col min="5647" max="5647" width="7.5546875" style="325" customWidth="1"/>
    <col min="5648" max="5649" width="6.44140625" style="325" customWidth="1"/>
    <col min="5650" max="5650" width="7.6640625" style="325" customWidth="1"/>
    <col min="5651" max="5651" width="6.44140625" style="325" customWidth="1"/>
    <col min="5652" max="5652" width="7.5546875" style="325" customWidth="1"/>
    <col min="5653" max="5658" width="6.44140625" style="325" customWidth="1"/>
    <col min="5659" max="5659" width="5.44140625" style="325" customWidth="1"/>
    <col min="5660" max="5660" width="9" style="325" customWidth="1"/>
    <col min="5661" max="5661" width="9.5546875" style="325" customWidth="1"/>
    <col min="5662" max="5662" width="8.5546875" style="325" customWidth="1"/>
    <col min="5663" max="5663" width="7.44140625" style="325" customWidth="1"/>
    <col min="5664" max="5664" width="7.109375" style="325" customWidth="1"/>
    <col min="5665" max="5665" width="8.109375" style="325" customWidth="1"/>
    <col min="5666" max="5669" width="6.44140625" style="325" customWidth="1"/>
    <col min="5670" max="5670" width="9.33203125" style="325" customWidth="1"/>
    <col min="5671" max="5671" width="7.44140625" style="325" customWidth="1"/>
    <col min="5672" max="5672" width="8.6640625" style="325" customWidth="1"/>
    <col min="5673" max="5673" width="8.33203125" style="325" customWidth="1"/>
    <col min="5674" max="5674" width="7.109375" style="325" customWidth="1"/>
    <col min="5675" max="5675" width="9.109375" style="325" customWidth="1"/>
    <col min="5676" max="5676" width="7.5546875" style="325" customWidth="1"/>
    <col min="5677" max="5677" width="6.33203125" style="325" customWidth="1"/>
    <col min="5678" max="5678" width="8.33203125" style="325" customWidth="1"/>
    <col min="5679" max="5679" width="9.5546875" style="325" customWidth="1"/>
    <col min="5680" max="5680" width="7" style="325" customWidth="1"/>
    <col min="5681" max="5681" width="5.44140625" style="325" customWidth="1"/>
    <col min="5682" max="5888" width="11.44140625" style="325"/>
    <col min="5889" max="5889" width="4.44140625" style="325" customWidth="1"/>
    <col min="5890" max="5890" width="24.109375" style="325" customWidth="1"/>
    <col min="5891" max="5891" width="9.44140625" style="325" customWidth="1"/>
    <col min="5892" max="5892" width="8.88671875" style="325" customWidth="1"/>
    <col min="5893" max="5893" width="9.88671875" style="325" customWidth="1"/>
    <col min="5894" max="5894" width="9.109375" style="325" customWidth="1"/>
    <col min="5895" max="5895" width="8" style="325" customWidth="1"/>
    <col min="5896" max="5896" width="11" style="325" customWidth="1"/>
    <col min="5897" max="5898" width="7.5546875" style="325" customWidth="1"/>
    <col min="5899" max="5899" width="7.44140625" style="325" customWidth="1"/>
    <col min="5900" max="5900" width="7.88671875" style="325" customWidth="1"/>
    <col min="5901" max="5901" width="9.109375" style="325" customWidth="1"/>
    <col min="5902" max="5902" width="8" style="325" customWidth="1"/>
    <col min="5903" max="5903" width="7.5546875" style="325" customWidth="1"/>
    <col min="5904" max="5905" width="6.44140625" style="325" customWidth="1"/>
    <col min="5906" max="5906" width="7.6640625" style="325" customWidth="1"/>
    <col min="5907" max="5907" width="6.44140625" style="325" customWidth="1"/>
    <col min="5908" max="5908" width="7.5546875" style="325" customWidth="1"/>
    <col min="5909" max="5914" width="6.44140625" style="325" customWidth="1"/>
    <col min="5915" max="5915" width="5.44140625" style="325" customWidth="1"/>
    <col min="5916" max="5916" width="9" style="325" customWidth="1"/>
    <col min="5917" max="5917" width="9.5546875" style="325" customWidth="1"/>
    <col min="5918" max="5918" width="8.5546875" style="325" customWidth="1"/>
    <col min="5919" max="5919" width="7.44140625" style="325" customWidth="1"/>
    <col min="5920" max="5920" width="7.109375" style="325" customWidth="1"/>
    <col min="5921" max="5921" width="8.109375" style="325" customWidth="1"/>
    <col min="5922" max="5925" width="6.44140625" style="325" customWidth="1"/>
    <col min="5926" max="5926" width="9.33203125" style="325" customWidth="1"/>
    <col min="5927" max="5927" width="7.44140625" style="325" customWidth="1"/>
    <col min="5928" max="5928" width="8.6640625" style="325" customWidth="1"/>
    <col min="5929" max="5929" width="8.33203125" style="325" customWidth="1"/>
    <col min="5930" max="5930" width="7.109375" style="325" customWidth="1"/>
    <col min="5931" max="5931" width="9.109375" style="325" customWidth="1"/>
    <col min="5932" max="5932" width="7.5546875" style="325" customWidth="1"/>
    <col min="5933" max="5933" width="6.33203125" style="325" customWidth="1"/>
    <col min="5934" max="5934" width="8.33203125" style="325" customWidth="1"/>
    <col min="5935" max="5935" width="9.5546875" style="325" customWidth="1"/>
    <col min="5936" max="5936" width="7" style="325" customWidth="1"/>
    <col min="5937" max="5937" width="5.44140625" style="325" customWidth="1"/>
    <col min="5938" max="6144" width="11.44140625" style="325"/>
    <col min="6145" max="6145" width="4.44140625" style="325" customWidth="1"/>
    <col min="6146" max="6146" width="24.109375" style="325" customWidth="1"/>
    <col min="6147" max="6147" width="9.44140625" style="325" customWidth="1"/>
    <col min="6148" max="6148" width="8.88671875" style="325" customWidth="1"/>
    <col min="6149" max="6149" width="9.88671875" style="325" customWidth="1"/>
    <col min="6150" max="6150" width="9.109375" style="325" customWidth="1"/>
    <col min="6151" max="6151" width="8" style="325" customWidth="1"/>
    <col min="6152" max="6152" width="11" style="325" customWidth="1"/>
    <col min="6153" max="6154" width="7.5546875" style="325" customWidth="1"/>
    <col min="6155" max="6155" width="7.44140625" style="325" customWidth="1"/>
    <col min="6156" max="6156" width="7.88671875" style="325" customWidth="1"/>
    <col min="6157" max="6157" width="9.109375" style="325" customWidth="1"/>
    <col min="6158" max="6158" width="8" style="325" customWidth="1"/>
    <col min="6159" max="6159" width="7.5546875" style="325" customWidth="1"/>
    <col min="6160" max="6161" width="6.44140625" style="325" customWidth="1"/>
    <col min="6162" max="6162" width="7.6640625" style="325" customWidth="1"/>
    <col min="6163" max="6163" width="6.44140625" style="325" customWidth="1"/>
    <col min="6164" max="6164" width="7.5546875" style="325" customWidth="1"/>
    <col min="6165" max="6170" width="6.44140625" style="325" customWidth="1"/>
    <col min="6171" max="6171" width="5.44140625" style="325" customWidth="1"/>
    <col min="6172" max="6172" width="9" style="325" customWidth="1"/>
    <col min="6173" max="6173" width="9.5546875" style="325" customWidth="1"/>
    <col min="6174" max="6174" width="8.5546875" style="325" customWidth="1"/>
    <col min="6175" max="6175" width="7.44140625" style="325" customWidth="1"/>
    <col min="6176" max="6176" width="7.109375" style="325" customWidth="1"/>
    <col min="6177" max="6177" width="8.109375" style="325" customWidth="1"/>
    <col min="6178" max="6181" width="6.44140625" style="325" customWidth="1"/>
    <col min="6182" max="6182" width="9.33203125" style="325" customWidth="1"/>
    <col min="6183" max="6183" width="7.44140625" style="325" customWidth="1"/>
    <col min="6184" max="6184" width="8.6640625" style="325" customWidth="1"/>
    <col min="6185" max="6185" width="8.33203125" style="325" customWidth="1"/>
    <col min="6186" max="6186" width="7.109375" style="325" customWidth="1"/>
    <col min="6187" max="6187" width="9.109375" style="325" customWidth="1"/>
    <col min="6188" max="6188" width="7.5546875" style="325" customWidth="1"/>
    <col min="6189" max="6189" width="6.33203125" style="325" customWidth="1"/>
    <col min="6190" max="6190" width="8.33203125" style="325" customWidth="1"/>
    <col min="6191" max="6191" width="9.5546875" style="325" customWidth="1"/>
    <col min="6192" max="6192" width="7" style="325" customWidth="1"/>
    <col min="6193" max="6193" width="5.44140625" style="325" customWidth="1"/>
    <col min="6194" max="6400" width="11.44140625" style="325"/>
    <col min="6401" max="6401" width="4.44140625" style="325" customWidth="1"/>
    <col min="6402" max="6402" width="24.109375" style="325" customWidth="1"/>
    <col min="6403" max="6403" width="9.44140625" style="325" customWidth="1"/>
    <col min="6404" max="6404" width="8.88671875" style="325" customWidth="1"/>
    <col min="6405" max="6405" width="9.88671875" style="325" customWidth="1"/>
    <col min="6406" max="6406" width="9.109375" style="325" customWidth="1"/>
    <col min="6407" max="6407" width="8" style="325" customWidth="1"/>
    <col min="6408" max="6408" width="11" style="325" customWidth="1"/>
    <col min="6409" max="6410" width="7.5546875" style="325" customWidth="1"/>
    <col min="6411" max="6411" width="7.44140625" style="325" customWidth="1"/>
    <col min="6412" max="6412" width="7.88671875" style="325" customWidth="1"/>
    <col min="6413" max="6413" width="9.109375" style="325" customWidth="1"/>
    <col min="6414" max="6414" width="8" style="325" customWidth="1"/>
    <col min="6415" max="6415" width="7.5546875" style="325" customWidth="1"/>
    <col min="6416" max="6417" width="6.44140625" style="325" customWidth="1"/>
    <col min="6418" max="6418" width="7.6640625" style="325" customWidth="1"/>
    <col min="6419" max="6419" width="6.44140625" style="325" customWidth="1"/>
    <col min="6420" max="6420" width="7.5546875" style="325" customWidth="1"/>
    <col min="6421" max="6426" width="6.44140625" style="325" customWidth="1"/>
    <col min="6427" max="6427" width="5.44140625" style="325" customWidth="1"/>
    <col min="6428" max="6428" width="9" style="325" customWidth="1"/>
    <col min="6429" max="6429" width="9.5546875" style="325" customWidth="1"/>
    <col min="6430" max="6430" width="8.5546875" style="325" customWidth="1"/>
    <col min="6431" max="6431" width="7.44140625" style="325" customWidth="1"/>
    <col min="6432" max="6432" width="7.109375" style="325" customWidth="1"/>
    <col min="6433" max="6433" width="8.109375" style="325" customWidth="1"/>
    <col min="6434" max="6437" width="6.44140625" style="325" customWidth="1"/>
    <col min="6438" max="6438" width="9.33203125" style="325" customWidth="1"/>
    <col min="6439" max="6439" width="7.44140625" style="325" customWidth="1"/>
    <col min="6440" max="6440" width="8.6640625" style="325" customWidth="1"/>
    <col min="6441" max="6441" width="8.33203125" style="325" customWidth="1"/>
    <col min="6442" max="6442" width="7.109375" style="325" customWidth="1"/>
    <col min="6443" max="6443" width="9.109375" style="325" customWidth="1"/>
    <col min="6444" max="6444" width="7.5546875" style="325" customWidth="1"/>
    <col min="6445" max="6445" width="6.33203125" style="325" customWidth="1"/>
    <col min="6446" max="6446" width="8.33203125" style="325" customWidth="1"/>
    <col min="6447" max="6447" width="9.5546875" style="325" customWidth="1"/>
    <col min="6448" max="6448" width="7" style="325" customWidth="1"/>
    <col min="6449" max="6449" width="5.44140625" style="325" customWidth="1"/>
    <col min="6450" max="6656" width="11.44140625" style="325"/>
    <col min="6657" max="6657" width="4.44140625" style="325" customWidth="1"/>
    <col min="6658" max="6658" width="24.109375" style="325" customWidth="1"/>
    <col min="6659" max="6659" width="9.44140625" style="325" customWidth="1"/>
    <col min="6660" max="6660" width="8.88671875" style="325" customWidth="1"/>
    <col min="6661" max="6661" width="9.88671875" style="325" customWidth="1"/>
    <col min="6662" max="6662" width="9.109375" style="325" customWidth="1"/>
    <col min="6663" max="6663" width="8" style="325" customWidth="1"/>
    <col min="6664" max="6664" width="11" style="325" customWidth="1"/>
    <col min="6665" max="6666" width="7.5546875" style="325" customWidth="1"/>
    <col min="6667" max="6667" width="7.44140625" style="325" customWidth="1"/>
    <col min="6668" max="6668" width="7.88671875" style="325" customWidth="1"/>
    <col min="6669" max="6669" width="9.109375" style="325" customWidth="1"/>
    <col min="6670" max="6670" width="8" style="325" customWidth="1"/>
    <col min="6671" max="6671" width="7.5546875" style="325" customWidth="1"/>
    <col min="6672" max="6673" width="6.44140625" style="325" customWidth="1"/>
    <col min="6674" max="6674" width="7.6640625" style="325" customWidth="1"/>
    <col min="6675" max="6675" width="6.44140625" style="325" customWidth="1"/>
    <col min="6676" max="6676" width="7.5546875" style="325" customWidth="1"/>
    <col min="6677" max="6682" width="6.44140625" style="325" customWidth="1"/>
    <col min="6683" max="6683" width="5.44140625" style="325" customWidth="1"/>
    <col min="6684" max="6684" width="9" style="325" customWidth="1"/>
    <col min="6685" max="6685" width="9.5546875" style="325" customWidth="1"/>
    <col min="6686" max="6686" width="8.5546875" style="325" customWidth="1"/>
    <col min="6687" max="6687" width="7.44140625" style="325" customWidth="1"/>
    <col min="6688" max="6688" width="7.109375" style="325" customWidth="1"/>
    <col min="6689" max="6689" width="8.109375" style="325" customWidth="1"/>
    <col min="6690" max="6693" width="6.44140625" style="325" customWidth="1"/>
    <col min="6694" max="6694" width="9.33203125" style="325" customWidth="1"/>
    <col min="6695" max="6695" width="7.44140625" style="325" customWidth="1"/>
    <col min="6696" max="6696" width="8.6640625" style="325" customWidth="1"/>
    <col min="6697" max="6697" width="8.33203125" style="325" customWidth="1"/>
    <col min="6698" max="6698" width="7.109375" style="325" customWidth="1"/>
    <col min="6699" max="6699" width="9.109375" style="325" customWidth="1"/>
    <col min="6700" max="6700" width="7.5546875" style="325" customWidth="1"/>
    <col min="6701" max="6701" width="6.33203125" style="325" customWidth="1"/>
    <col min="6702" max="6702" width="8.33203125" style="325" customWidth="1"/>
    <col min="6703" max="6703" width="9.5546875" style="325" customWidth="1"/>
    <col min="6704" max="6704" width="7" style="325" customWidth="1"/>
    <col min="6705" max="6705" width="5.44140625" style="325" customWidth="1"/>
    <col min="6706" max="6912" width="11.44140625" style="325"/>
    <col min="6913" max="6913" width="4.44140625" style="325" customWidth="1"/>
    <col min="6914" max="6914" width="24.109375" style="325" customWidth="1"/>
    <col min="6915" max="6915" width="9.44140625" style="325" customWidth="1"/>
    <col min="6916" max="6916" width="8.88671875" style="325" customWidth="1"/>
    <col min="6917" max="6917" width="9.88671875" style="325" customWidth="1"/>
    <col min="6918" max="6918" width="9.109375" style="325" customWidth="1"/>
    <col min="6919" max="6919" width="8" style="325" customWidth="1"/>
    <col min="6920" max="6920" width="11" style="325" customWidth="1"/>
    <col min="6921" max="6922" width="7.5546875" style="325" customWidth="1"/>
    <col min="6923" max="6923" width="7.44140625" style="325" customWidth="1"/>
    <col min="6924" max="6924" width="7.88671875" style="325" customWidth="1"/>
    <col min="6925" max="6925" width="9.109375" style="325" customWidth="1"/>
    <col min="6926" max="6926" width="8" style="325" customWidth="1"/>
    <col min="6927" max="6927" width="7.5546875" style="325" customWidth="1"/>
    <col min="6928" max="6929" width="6.44140625" style="325" customWidth="1"/>
    <col min="6930" max="6930" width="7.6640625" style="325" customWidth="1"/>
    <col min="6931" max="6931" width="6.44140625" style="325" customWidth="1"/>
    <col min="6932" max="6932" width="7.5546875" style="325" customWidth="1"/>
    <col min="6933" max="6938" width="6.44140625" style="325" customWidth="1"/>
    <col min="6939" max="6939" width="5.44140625" style="325" customWidth="1"/>
    <col min="6940" max="6940" width="9" style="325" customWidth="1"/>
    <col min="6941" max="6941" width="9.5546875" style="325" customWidth="1"/>
    <col min="6942" max="6942" width="8.5546875" style="325" customWidth="1"/>
    <col min="6943" max="6943" width="7.44140625" style="325" customWidth="1"/>
    <col min="6944" max="6944" width="7.109375" style="325" customWidth="1"/>
    <col min="6945" max="6945" width="8.109375" style="325" customWidth="1"/>
    <col min="6946" max="6949" width="6.44140625" style="325" customWidth="1"/>
    <col min="6950" max="6950" width="9.33203125" style="325" customWidth="1"/>
    <col min="6951" max="6951" width="7.44140625" style="325" customWidth="1"/>
    <col min="6952" max="6952" width="8.6640625" style="325" customWidth="1"/>
    <col min="6953" max="6953" width="8.33203125" style="325" customWidth="1"/>
    <col min="6954" max="6954" width="7.109375" style="325" customWidth="1"/>
    <col min="6955" max="6955" width="9.109375" style="325" customWidth="1"/>
    <col min="6956" max="6956" width="7.5546875" style="325" customWidth="1"/>
    <col min="6957" max="6957" width="6.33203125" style="325" customWidth="1"/>
    <col min="6958" max="6958" width="8.33203125" style="325" customWidth="1"/>
    <col min="6959" max="6959" width="9.5546875" style="325" customWidth="1"/>
    <col min="6960" max="6960" width="7" style="325" customWidth="1"/>
    <col min="6961" max="6961" width="5.44140625" style="325" customWidth="1"/>
    <col min="6962" max="7168" width="11.44140625" style="325"/>
    <col min="7169" max="7169" width="4.44140625" style="325" customWidth="1"/>
    <col min="7170" max="7170" width="24.109375" style="325" customWidth="1"/>
    <col min="7171" max="7171" width="9.44140625" style="325" customWidth="1"/>
    <col min="7172" max="7172" width="8.88671875" style="325" customWidth="1"/>
    <col min="7173" max="7173" width="9.88671875" style="325" customWidth="1"/>
    <col min="7174" max="7174" width="9.109375" style="325" customWidth="1"/>
    <col min="7175" max="7175" width="8" style="325" customWidth="1"/>
    <col min="7176" max="7176" width="11" style="325" customWidth="1"/>
    <col min="7177" max="7178" width="7.5546875" style="325" customWidth="1"/>
    <col min="7179" max="7179" width="7.44140625" style="325" customWidth="1"/>
    <col min="7180" max="7180" width="7.88671875" style="325" customWidth="1"/>
    <col min="7181" max="7181" width="9.109375" style="325" customWidth="1"/>
    <col min="7182" max="7182" width="8" style="325" customWidth="1"/>
    <col min="7183" max="7183" width="7.5546875" style="325" customWidth="1"/>
    <col min="7184" max="7185" width="6.44140625" style="325" customWidth="1"/>
    <col min="7186" max="7186" width="7.6640625" style="325" customWidth="1"/>
    <col min="7187" max="7187" width="6.44140625" style="325" customWidth="1"/>
    <col min="7188" max="7188" width="7.5546875" style="325" customWidth="1"/>
    <col min="7189" max="7194" width="6.44140625" style="325" customWidth="1"/>
    <col min="7195" max="7195" width="5.44140625" style="325" customWidth="1"/>
    <col min="7196" max="7196" width="9" style="325" customWidth="1"/>
    <col min="7197" max="7197" width="9.5546875" style="325" customWidth="1"/>
    <col min="7198" max="7198" width="8.5546875" style="325" customWidth="1"/>
    <col min="7199" max="7199" width="7.44140625" style="325" customWidth="1"/>
    <col min="7200" max="7200" width="7.109375" style="325" customWidth="1"/>
    <col min="7201" max="7201" width="8.109375" style="325" customWidth="1"/>
    <col min="7202" max="7205" width="6.44140625" style="325" customWidth="1"/>
    <col min="7206" max="7206" width="9.33203125" style="325" customWidth="1"/>
    <col min="7207" max="7207" width="7.44140625" style="325" customWidth="1"/>
    <col min="7208" max="7208" width="8.6640625" style="325" customWidth="1"/>
    <col min="7209" max="7209" width="8.33203125" style="325" customWidth="1"/>
    <col min="7210" max="7210" width="7.109375" style="325" customWidth="1"/>
    <col min="7211" max="7211" width="9.109375" style="325" customWidth="1"/>
    <col min="7212" max="7212" width="7.5546875" style="325" customWidth="1"/>
    <col min="7213" max="7213" width="6.33203125" style="325" customWidth="1"/>
    <col min="7214" max="7214" width="8.33203125" style="325" customWidth="1"/>
    <col min="7215" max="7215" width="9.5546875" style="325" customWidth="1"/>
    <col min="7216" max="7216" width="7" style="325" customWidth="1"/>
    <col min="7217" max="7217" width="5.44140625" style="325" customWidth="1"/>
    <col min="7218" max="7424" width="11.44140625" style="325"/>
    <col min="7425" max="7425" width="4.44140625" style="325" customWidth="1"/>
    <col min="7426" max="7426" width="24.109375" style="325" customWidth="1"/>
    <col min="7427" max="7427" width="9.44140625" style="325" customWidth="1"/>
    <col min="7428" max="7428" width="8.88671875" style="325" customWidth="1"/>
    <col min="7429" max="7429" width="9.88671875" style="325" customWidth="1"/>
    <col min="7430" max="7430" width="9.109375" style="325" customWidth="1"/>
    <col min="7431" max="7431" width="8" style="325" customWidth="1"/>
    <col min="7432" max="7432" width="11" style="325" customWidth="1"/>
    <col min="7433" max="7434" width="7.5546875" style="325" customWidth="1"/>
    <col min="7435" max="7435" width="7.44140625" style="325" customWidth="1"/>
    <col min="7436" max="7436" width="7.88671875" style="325" customWidth="1"/>
    <col min="7437" max="7437" width="9.109375" style="325" customWidth="1"/>
    <col min="7438" max="7438" width="8" style="325" customWidth="1"/>
    <col min="7439" max="7439" width="7.5546875" style="325" customWidth="1"/>
    <col min="7440" max="7441" width="6.44140625" style="325" customWidth="1"/>
    <col min="7442" max="7442" width="7.6640625" style="325" customWidth="1"/>
    <col min="7443" max="7443" width="6.44140625" style="325" customWidth="1"/>
    <col min="7444" max="7444" width="7.5546875" style="325" customWidth="1"/>
    <col min="7445" max="7450" width="6.44140625" style="325" customWidth="1"/>
    <col min="7451" max="7451" width="5.44140625" style="325" customWidth="1"/>
    <col min="7452" max="7452" width="9" style="325" customWidth="1"/>
    <col min="7453" max="7453" width="9.5546875" style="325" customWidth="1"/>
    <col min="7454" max="7454" width="8.5546875" style="325" customWidth="1"/>
    <col min="7455" max="7455" width="7.44140625" style="325" customWidth="1"/>
    <col min="7456" max="7456" width="7.109375" style="325" customWidth="1"/>
    <col min="7457" max="7457" width="8.109375" style="325" customWidth="1"/>
    <col min="7458" max="7461" width="6.44140625" style="325" customWidth="1"/>
    <col min="7462" max="7462" width="9.33203125" style="325" customWidth="1"/>
    <col min="7463" max="7463" width="7.44140625" style="325" customWidth="1"/>
    <col min="7464" max="7464" width="8.6640625" style="325" customWidth="1"/>
    <col min="7465" max="7465" width="8.33203125" style="325" customWidth="1"/>
    <col min="7466" max="7466" width="7.109375" style="325" customWidth="1"/>
    <col min="7467" max="7467" width="9.109375" style="325" customWidth="1"/>
    <col min="7468" max="7468" width="7.5546875" style="325" customWidth="1"/>
    <col min="7469" max="7469" width="6.33203125" style="325" customWidth="1"/>
    <col min="7470" max="7470" width="8.33203125" style="325" customWidth="1"/>
    <col min="7471" max="7471" width="9.5546875" style="325" customWidth="1"/>
    <col min="7472" max="7472" width="7" style="325" customWidth="1"/>
    <col min="7473" max="7473" width="5.44140625" style="325" customWidth="1"/>
    <col min="7474" max="7680" width="11.44140625" style="325"/>
    <col min="7681" max="7681" width="4.44140625" style="325" customWidth="1"/>
    <col min="7682" max="7682" width="24.109375" style="325" customWidth="1"/>
    <col min="7683" max="7683" width="9.44140625" style="325" customWidth="1"/>
    <col min="7684" max="7684" width="8.88671875" style="325" customWidth="1"/>
    <col min="7685" max="7685" width="9.88671875" style="325" customWidth="1"/>
    <col min="7686" max="7686" width="9.109375" style="325" customWidth="1"/>
    <col min="7687" max="7687" width="8" style="325" customWidth="1"/>
    <col min="7688" max="7688" width="11" style="325" customWidth="1"/>
    <col min="7689" max="7690" width="7.5546875" style="325" customWidth="1"/>
    <col min="7691" max="7691" width="7.44140625" style="325" customWidth="1"/>
    <col min="7692" max="7692" width="7.88671875" style="325" customWidth="1"/>
    <col min="7693" max="7693" width="9.109375" style="325" customWidth="1"/>
    <col min="7694" max="7694" width="8" style="325" customWidth="1"/>
    <col min="7695" max="7695" width="7.5546875" style="325" customWidth="1"/>
    <col min="7696" max="7697" width="6.44140625" style="325" customWidth="1"/>
    <col min="7698" max="7698" width="7.6640625" style="325" customWidth="1"/>
    <col min="7699" max="7699" width="6.44140625" style="325" customWidth="1"/>
    <col min="7700" max="7700" width="7.5546875" style="325" customWidth="1"/>
    <col min="7701" max="7706" width="6.44140625" style="325" customWidth="1"/>
    <col min="7707" max="7707" width="5.44140625" style="325" customWidth="1"/>
    <col min="7708" max="7708" width="9" style="325" customWidth="1"/>
    <col min="7709" max="7709" width="9.5546875" style="325" customWidth="1"/>
    <col min="7710" max="7710" width="8.5546875" style="325" customWidth="1"/>
    <col min="7711" max="7711" width="7.44140625" style="325" customWidth="1"/>
    <col min="7712" max="7712" width="7.109375" style="325" customWidth="1"/>
    <col min="7713" max="7713" width="8.109375" style="325" customWidth="1"/>
    <col min="7714" max="7717" width="6.44140625" style="325" customWidth="1"/>
    <col min="7718" max="7718" width="9.33203125" style="325" customWidth="1"/>
    <col min="7719" max="7719" width="7.44140625" style="325" customWidth="1"/>
    <col min="7720" max="7720" width="8.6640625" style="325" customWidth="1"/>
    <col min="7721" max="7721" width="8.33203125" style="325" customWidth="1"/>
    <col min="7722" max="7722" width="7.109375" style="325" customWidth="1"/>
    <col min="7723" max="7723" width="9.109375" style="325" customWidth="1"/>
    <col min="7724" max="7724" width="7.5546875" style="325" customWidth="1"/>
    <col min="7725" max="7725" width="6.33203125" style="325" customWidth="1"/>
    <col min="7726" max="7726" width="8.33203125" style="325" customWidth="1"/>
    <col min="7727" max="7727" width="9.5546875" style="325" customWidth="1"/>
    <col min="7728" max="7728" width="7" style="325" customWidth="1"/>
    <col min="7729" max="7729" width="5.44140625" style="325" customWidth="1"/>
    <col min="7730" max="7936" width="11.44140625" style="325"/>
    <col min="7937" max="7937" width="4.44140625" style="325" customWidth="1"/>
    <col min="7938" max="7938" width="24.109375" style="325" customWidth="1"/>
    <col min="7939" max="7939" width="9.44140625" style="325" customWidth="1"/>
    <col min="7940" max="7940" width="8.88671875" style="325" customWidth="1"/>
    <col min="7941" max="7941" width="9.88671875" style="325" customWidth="1"/>
    <col min="7942" max="7942" width="9.109375" style="325" customWidth="1"/>
    <col min="7943" max="7943" width="8" style="325" customWidth="1"/>
    <col min="7944" max="7944" width="11" style="325" customWidth="1"/>
    <col min="7945" max="7946" width="7.5546875" style="325" customWidth="1"/>
    <col min="7947" max="7947" width="7.44140625" style="325" customWidth="1"/>
    <col min="7948" max="7948" width="7.88671875" style="325" customWidth="1"/>
    <col min="7949" max="7949" width="9.109375" style="325" customWidth="1"/>
    <col min="7950" max="7950" width="8" style="325" customWidth="1"/>
    <col min="7951" max="7951" width="7.5546875" style="325" customWidth="1"/>
    <col min="7952" max="7953" width="6.44140625" style="325" customWidth="1"/>
    <col min="7954" max="7954" width="7.6640625" style="325" customWidth="1"/>
    <col min="7955" max="7955" width="6.44140625" style="325" customWidth="1"/>
    <col min="7956" max="7956" width="7.5546875" style="325" customWidth="1"/>
    <col min="7957" max="7962" width="6.44140625" style="325" customWidth="1"/>
    <col min="7963" max="7963" width="5.44140625" style="325" customWidth="1"/>
    <col min="7964" max="7964" width="9" style="325" customWidth="1"/>
    <col min="7965" max="7965" width="9.5546875" style="325" customWidth="1"/>
    <col min="7966" max="7966" width="8.5546875" style="325" customWidth="1"/>
    <col min="7967" max="7967" width="7.44140625" style="325" customWidth="1"/>
    <col min="7968" max="7968" width="7.109375" style="325" customWidth="1"/>
    <col min="7969" max="7969" width="8.109375" style="325" customWidth="1"/>
    <col min="7970" max="7973" width="6.44140625" style="325" customWidth="1"/>
    <col min="7974" max="7974" width="9.33203125" style="325" customWidth="1"/>
    <col min="7975" max="7975" width="7.44140625" style="325" customWidth="1"/>
    <col min="7976" max="7976" width="8.6640625" style="325" customWidth="1"/>
    <col min="7977" max="7977" width="8.33203125" style="325" customWidth="1"/>
    <col min="7978" max="7978" width="7.109375" style="325" customWidth="1"/>
    <col min="7979" max="7979" width="9.109375" style="325" customWidth="1"/>
    <col min="7980" max="7980" width="7.5546875" style="325" customWidth="1"/>
    <col min="7981" max="7981" width="6.33203125" style="325" customWidth="1"/>
    <col min="7982" max="7982" width="8.33203125" style="325" customWidth="1"/>
    <col min="7983" max="7983" width="9.5546875" style="325" customWidth="1"/>
    <col min="7984" max="7984" width="7" style="325" customWidth="1"/>
    <col min="7985" max="7985" width="5.44140625" style="325" customWidth="1"/>
    <col min="7986" max="8192" width="11.44140625" style="325"/>
    <col min="8193" max="8193" width="4.44140625" style="325" customWidth="1"/>
    <col min="8194" max="8194" width="24.109375" style="325" customWidth="1"/>
    <col min="8195" max="8195" width="9.44140625" style="325" customWidth="1"/>
    <col min="8196" max="8196" width="8.88671875" style="325" customWidth="1"/>
    <col min="8197" max="8197" width="9.88671875" style="325" customWidth="1"/>
    <col min="8198" max="8198" width="9.109375" style="325" customWidth="1"/>
    <col min="8199" max="8199" width="8" style="325" customWidth="1"/>
    <col min="8200" max="8200" width="11" style="325" customWidth="1"/>
    <col min="8201" max="8202" width="7.5546875" style="325" customWidth="1"/>
    <col min="8203" max="8203" width="7.44140625" style="325" customWidth="1"/>
    <col min="8204" max="8204" width="7.88671875" style="325" customWidth="1"/>
    <col min="8205" max="8205" width="9.109375" style="325" customWidth="1"/>
    <col min="8206" max="8206" width="8" style="325" customWidth="1"/>
    <col min="8207" max="8207" width="7.5546875" style="325" customWidth="1"/>
    <col min="8208" max="8209" width="6.44140625" style="325" customWidth="1"/>
    <col min="8210" max="8210" width="7.6640625" style="325" customWidth="1"/>
    <col min="8211" max="8211" width="6.44140625" style="325" customWidth="1"/>
    <col min="8212" max="8212" width="7.5546875" style="325" customWidth="1"/>
    <col min="8213" max="8218" width="6.44140625" style="325" customWidth="1"/>
    <col min="8219" max="8219" width="5.44140625" style="325" customWidth="1"/>
    <col min="8220" max="8220" width="9" style="325" customWidth="1"/>
    <col min="8221" max="8221" width="9.5546875" style="325" customWidth="1"/>
    <col min="8222" max="8222" width="8.5546875" style="325" customWidth="1"/>
    <col min="8223" max="8223" width="7.44140625" style="325" customWidth="1"/>
    <col min="8224" max="8224" width="7.109375" style="325" customWidth="1"/>
    <col min="8225" max="8225" width="8.109375" style="325" customWidth="1"/>
    <col min="8226" max="8229" width="6.44140625" style="325" customWidth="1"/>
    <col min="8230" max="8230" width="9.33203125" style="325" customWidth="1"/>
    <col min="8231" max="8231" width="7.44140625" style="325" customWidth="1"/>
    <col min="8232" max="8232" width="8.6640625" style="325" customWidth="1"/>
    <col min="8233" max="8233" width="8.33203125" style="325" customWidth="1"/>
    <col min="8234" max="8234" width="7.109375" style="325" customWidth="1"/>
    <col min="8235" max="8235" width="9.109375" style="325" customWidth="1"/>
    <col min="8236" max="8236" width="7.5546875" style="325" customWidth="1"/>
    <col min="8237" max="8237" width="6.33203125" style="325" customWidth="1"/>
    <col min="8238" max="8238" width="8.33203125" style="325" customWidth="1"/>
    <col min="8239" max="8239" width="9.5546875" style="325" customWidth="1"/>
    <col min="8240" max="8240" width="7" style="325" customWidth="1"/>
    <col min="8241" max="8241" width="5.44140625" style="325" customWidth="1"/>
    <col min="8242" max="8448" width="11.44140625" style="325"/>
    <col min="8449" max="8449" width="4.44140625" style="325" customWidth="1"/>
    <col min="8450" max="8450" width="24.109375" style="325" customWidth="1"/>
    <col min="8451" max="8451" width="9.44140625" style="325" customWidth="1"/>
    <col min="8452" max="8452" width="8.88671875" style="325" customWidth="1"/>
    <col min="8453" max="8453" width="9.88671875" style="325" customWidth="1"/>
    <col min="8454" max="8454" width="9.109375" style="325" customWidth="1"/>
    <col min="8455" max="8455" width="8" style="325" customWidth="1"/>
    <col min="8456" max="8456" width="11" style="325" customWidth="1"/>
    <col min="8457" max="8458" width="7.5546875" style="325" customWidth="1"/>
    <col min="8459" max="8459" width="7.44140625" style="325" customWidth="1"/>
    <col min="8460" max="8460" width="7.88671875" style="325" customWidth="1"/>
    <col min="8461" max="8461" width="9.109375" style="325" customWidth="1"/>
    <col min="8462" max="8462" width="8" style="325" customWidth="1"/>
    <col min="8463" max="8463" width="7.5546875" style="325" customWidth="1"/>
    <col min="8464" max="8465" width="6.44140625" style="325" customWidth="1"/>
    <col min="8466" max="8466" width="7.6640625" style="325" customWidth="1"/>
    <col min="8467" max="8467" width="6.44140625" style="325" customWidth="1"/>
    <col min="8468" max="8468" width="7.5546875" style="325" customWidth="1"/>
    <col min="8469" max="8474" width="6.44140625" style="325" customWidth="1"/>
    <col min="8475" max="8475" width="5.44140625" style="325" customWidth="1"/>
    <col min="8476" max="8476" width="9" style="325" customWidth="1"/>
    <col min="8477" max="8477" width="9.5546875" style="325" customWidth="1"/>
    <col min="8478" max="8478" width="8.5546875" style="325" customWidth="1"/>
    <col min="8479" max="8479" width="7.44140625" style="325" customWidth="1"/>
    <col min="8480" max="8480" width="7.109375" style="325" customWidth="1"/>
    <col min="8481" max="8481" width="8.109375" style="325" customWidth="1"/>
    <col min="8482" max="8485" width="6.44140625" style="325" customWidth="1"/>
    <col min="8486" max="8486" width="9.33203125" style="325" customWidth="1"/>
    <col min="8487" max="8487" width="7.44140625" style="325" customWidth="1"/>
    <col min="8488" max="8488" width="8.6640625" style="325" customWidth="1"/>
    <col min="8489" max="8489" width="8.33203125" style="325" customWidth="1"/>
    <col min="8490" max="8490" width="7.109375" style="325" customWidth="1"/>
    <col min="8491" max="8491" width="9.109375" style="325" customWidth="1"/>
    <col min="8492" max="8492" width="7.5546875" style="325" customWidth="1"/>
    <col min="8493" max="8493" width="6.33203125" style="325" customWidth="1"/>
    <col min="8494" max="8494" width="8.33203125" style="325" customWidth="1"/>
    <col min="8495" max="8495" width="9.5546875" style="325" customWidth="1"/>
    <col min="8496" max="8496" width="7" style="325" customWidth="1"/>
    <col min="8497" max="8497" width="5.44140625" style="325" customWidth="1"/>
    <col min="8498" max="8704" width="11.44140625" style="325"/>
    <col min="8705" max="8705" width="4.44140625" style="325" customWidth="1"/>
    <col min="8706" max="8706" width="24.109375" style="325" customWidth="1"/>
    <col min="8707" max="8707" width="9.44140625" style="325" customWidth="1"/>
    <col min="8708" max="8708" width="8.88671875" style="325" customWidth="1"/>
    <col min="8709" max="8709" width="9.88671875" style="325" customWidth="1"/>
    <col min="8710" max="8710" width="9.109375" style="325" customWidth="1"/>
    <col min="8711" max="8711" width="8" style="325" customWidth="1"/>
    <col min="8712" max="8712" width="11" style="325" customWidth="1"/>
    <col min="8713" max="8714" width="7.5546875" style="325" customWidth="1"/>
    <col min="8715" max="8715" width="7.44140625" style="325" customWidth="1"/>
    <col min="8716" max="8716" width="7.88671875" style="325" customWidth="1"/>
    <col min="8717" max="8717" width="9.109375" style="325" customWidth="1"/>
    <col min="8718" max="8718" width="8" style="325" customWidth="1"/>
    <col min="8719" max="8719" width="7.5546875" style="325" customWidth="1"/>
    <col min="8720" max="8721" width="6.44140625" style="325" customWidth="1"/>
    <col min="8722" max="8722" width="7.6640625" style="325" customWidth="1"/>
    <col min="8723" max="8723" width="6.44140625" style="325" customWidth="1"/>
    <col min="8724" max="8724" width="7.5546875" style="325" customWidth="1"/>
    <col min="8725" max="8730" width="6.44140625" style="325" customWidth="1"/>
    <col min="8731" max="8731" width="5.44140625" style="325" customWidth="1"/>
    <col min="8732" max="8732" width="9" style="325" customWidth="1"/>
    <col min="8733" max="8733" width="9.5546875" style="325" customWidth="1"/>
    <col min="8734" max="8734" width="8.5546875" style="325" customWidth="1"/>
    <col min="8735" max="8735" width="7.44140625" style="325" customWidth="1"/>
    <col min="8736" max="8736" width="7.109375" style="325" customWidth="1"/>
    <col min="8737" max="8737" width="8.109375" style="325" customWidth="1"/>
    <col min="8738" max="8741" width="6.44140625" style="325" customWidth="1"/>
    <col min="8742" max="8742" width="9.33203125" style="325" customWidth="1"/>
    <col min="8743" max="8743" width="7.44140625" style="325" customWidth="1"/>
    <col min="8744" max="8744" width="8.6640625" style="325" customWidth="1"/>
    <col min="8745" max="8745" width="8.33203125" style="325" customWidth="1"/>
    <col min="8746" max="8746" width="7.109375" style="325" customWidth="1"/>
    <col min="8747" max="8747" width="9.109375" style="325" customWidth="1"/>
    <col min="8748" max="8748" width="7.5546875" style="325" customWidth="1"/>
    <col min="8749" max="8749" width="6.33203125" style="325" customWidth="1"/>
    <col min="8750" max="8750" width="8.33203125" style="325" customWidth="1"/>
    <col min="8751" max="8751" width="9.5546875" style="325" customWidth="1"/>
    <col min="8752" max="8752" width="7" style="325" customWidth="1"/>
    <col min="8753" max="8753" width="5.44140625" style="325" customWidth="1"/>
    <col min="8754" max="8960" width="11.44140625" style="325"/>
    <col min="8961" max="8961" width="4.44140625" style="325" customWidth="1"/>
    <col min="8962" max="8962" width="24.109375" style="325" customWidth="1"/>
    <col min="8963" max="8963" width="9.44140625" style="325" customWidth="1"/>
    <col min="8964" max="8964" width="8.88671875" style="325" customWidth="1"/>
    <col min="8965" max="8965" width="9.88671875" style="325" customWidth="1"/>
    <col min="8966" max="8966" width="9.109375" style="325" customWidth="1"/>
    <col min="8967" max="8967" width="8" style="325" customWidth="1"/>
    <col min="8968" max="8968" width="11" style="325" customWidth="1"/>
    <col min="8969" max="8970" width="7.5546875" style="325" customWidth="1"/>
    <col min="8971" max="8971" width="7.44140625" style="325" customWidth="1"/>
    <col min="8972" max="8972" width="7.88671875" style="325" customWidth="1"/>
    <col min="8973" max="8973" width="9.109375" style="325" customWidth="1"/>
    <col min="8974" max="8974" width="8" style="325" customWidth="1"/>
    <col min="8975" max="8975" width="7.5546875" style="325" customWidth="1"/>
    <col min="8976" max="8977" width="6.44140625" style="325" customWidth="1"/>
    <col min="8978" max="8978" width="7.6640625" style="325" customWidth="1"/>
    <col min="8979" max="8979" width="6.44140625" style="325" customWidth="1"/>
    <col min="8980" max="8980" width="7.5546875" style="325" customWidth="1"/>
    <col min="8981" max="8986" width="6.44140625" style="325" customWidth="1"/>
    <col min="8987" max="8987" width="5.44140625" style="325" customWidth="1"/>
    <col min="8988" max="8988" width="9" style="325" customWidth="1"/>
    <col min="8989" max="8989" width="9.5546875" style="325" customWidth="1"/>
    <col min="8990" max="8990" width="8.5546875" style="325" customWidth="1"/>
    <col min="8991" max="8991" width="7.44140625" style="325" customWidth="1"/>
    <col min="8992" max="8992" width="7.109375" style="325" customWidth="1"/>
    <col min="8993" max="8993" width="8.109375" style="325" customWidth="1"/>
    <col min="8994" max="8997" width="6.44140625" style="325" customWidth="1"/>
    <col min="8998" max="8998" width="9.33203125" style="325" customWidth="1"/>
    <col min="8999" max="8999" width="7.44140625" style="325" customWidth="1"/>
    <col min="9000" max="9000" width="8.6640625" style="325" customWidth="1"/>
    <col min="9001" max="9001" width="8.33203125" style="325" customWidth="1"/>
    <col min="9002" max="9002" width="7.109375" style="325" customWidth="1"/>
    <col min="9003" max="9003" width="9.109375" style="325" customWidth="1"/>
    <col min="9004" max="9004" width="7.5546875" style="325" customWidth="1"/>
    <col min="9005" max="9005" width="6.33203125" style="325" customWidth="1"/>
    <col min="9006" max="9006" width="8.33203125" style="325" customWidth="1"/>
    <col min="9007" max="9007" width="9.5546875" style="325" customWidth="1"/>
    <col min="9008" max="9008" width="7" style="325" customWidth="1"/>
    <col min="9009" max="9009" width="5.44140625" style="325" customWidth="1"/>
    <col min="9010" max="9216" width="11.44140625" style="325"/>
    <col min="9217" max="9217" width="4.44140625" style="325" customWidth="1"/>
    <col min="9218" max="9218" width="24.109375" style="325" customWidth="1"/>
    <col min="9219" max="9219" width="9.44140625" style="325" customWidth="1"/>
    <col min="9220" max="9220" width="8.88671875" style="325" customWidth="1"/>
    <col min="9221" max="9221" width="9.88671875" style="325" customWidth="1"/>
    <col min="9222" max="9222" width="9.109375" style="325" customWidth="1"/>
    <col min="9223" max="9223" width="8" style="325" customWidth="1"/>
    <col min="9224" max="9224" width="11" style="325" customWidth="1"/>
    <col min="9225" max="9226" width="7.5546875" style="325" customWidth="1"/>
    <col min="9227" max="9227" width="7.44140625" style="325" customWidth="1"/>
    <col min="9228" max="9228" width="7.88671875" style="325" customWidth="1"/>
    <col min="9229" max="9229" width="9.109375" style="325" customWidth="1"/>
    <col min="9230" max="9230" width="8" style="325" customWidth="1"/>
    <col min="9231" max="9231" width="7.5546875" style="325" customWidth="1"/>
    <col min="9232" max="9233" width="6.44140625" style="325" customWidth="1"/>
    <col min="9234" max="9234" width="7.6640625" style="325" customWidth="1"/>
    <col min="9235" max="9235" width="6.44140625" style="325" customWidth="1"/>
    <col min="9236" max="9236" width="7.5546875" style="325" customWidth="1"/>
    <col min="9237" max="9242" width="6.44140625" style="325" customWidth="1"/>
    <col min="9243" max="9243" width="5.44140625" style="325" customWidth="1"/>
    <col min="9244" max="9244" width="9" style="325" customWidth="1"/>
    <col min="9245" max="9245" width="9.5546875" style="325" customWidth="1"/>
    <col min="9246" max="9246" width="8.5546875" style="325" customWidth="1"/>
    <col min="9247" max="9247" width="7.44140625" style="325" customWidth="1"/>
    <col min="9248" max="9248" width="7.109375" style="325" customWidth="1"/>
    <col min="9249" max="9249" width="8.109375" style="325" customWidth="1"/>
    <col min="9250" max="9253" width="6.44140625" style="325" customWidth="1"/>
    <col min="9254" max="9254" width="9.33203125" style="325" customWidth="1"/>
    <col min="9255" max="9255" width="7.44140625" style="325" customWidth="1"/>
    <col min="9256" max="9256" width="8.6640625" style="325" customWidth="1"/>
    <col min="9257" max="9257" width="8.33203125" style="325" customWidth="1"/>
    <col min="9258" max="9258" width="7.109375" style="325" customWidth="1"/>
    <col min="9259" max="9259" width="9.109375" style="325" customWidth="1"/>
    <col min="9260" max="9260" width="7.5546875" style="325" customWidth="1"/>
    <col min="9261" max="9261" width="6.33203125" style="325" customWidth="1"/>
    <col min="9262" max="9262" width="8.33203125" style="325" customWidth="1"/>
    <col min="9263" max="9263" width="9.5546875" style="325" customWidth="1"/>
    <col min="9264" max="9264" width="7" style="325" customWidth="1"/>
    <col min="9265" max="9265" width="5.44140625" style="325" customWidth="1"/>
    <col min="9266" max="9472" width="11.44140625" style="325"/>
    <col min="9473" max="9473" width="4.44140625" style="325" customWidth="1"/>
    <col min="9474" max="9474" width="24.109375" style="325" customWidth="1"/>
    <col min="9475" max="9475" width="9.44140625" style="325" customWidth="1"/>
    <col min="9476" max="9476" width="8.88671875" style="325" customWidth="1"/>
    <col min="9477" max="9477" width="9.88671875" style="325" customWidth="1"/>
    <col min="9478" max="9478" width="9.109375" style="325" customWidth="1"/>
    <col min="9479" max="9479" width="8" style="325" customWidth="1"/>
    <col min="9480" max="9480" width="11" style="325" customWidth="1"/>
    <col min="9481" max="9482" width="7.5546875" style="325" customWidth="1"/>
    <col min="9483" max="9483" width="7.44140625" style="325" customWidth="1"/>
    <col min="9484" max="9484" width="7.88671875" style="325" customWidth="1"/>
    <col min="9485" max="9485" width="9.109375" style="325" customWidth="1"/>
    <col min="9486" max="9486" width="8" style="325" customWidth="1"/>
    <col min="9487" max="9487" width="7.5546875" style="325" customWidth="1"/>
    <col min="9488" max="9489" width="6.44140625" style="325" customWidth="1"/>
    <col min="9490" max="9490" width="7.6640625" style="325" customWidth="1"/>
    <col min="9491" max="9491" width="6.44140625" style="325" customWidth="1"/>
    <col min="9492" max="9492" width="7.5546875" style="325" customWidth="1"/>
    <col min="9493" max="9498" width="6.44140625" style="325" customWidth="1"/>
    <col min="9499" max="9499" width="5.44140625" style="325" customWidth="1"/>
    <col min="9500" max="9500" width="9" style="325" customWidth="1"/>
    <col min="9501" max="9501" width="9.5546875" style="325" customWidth="1"/>
    <col min="9502" max="9502" width="8.5546875" style="325" customWidth="1"/>
    <col min="9503" max="9503" width="7.44140625" style="325" customWidth="1"/>
    <col min="9504" max="9504" width="7.109375" style="325" customWidth="1"/>
    <col min="9505" max="9505" width="8.109375" style="325" customWidth="1"/>
    <col min="9506" max="9509" width="6.44140625" style="325" customWidth="1"/>
    <col min="9510" max="9510" width="9.33203125" style="325" customWidth="1"/>
    <col min="9511" max="9511" width="7.44140625" style="325" customWidth="1"/>
    <col min="9512" max="9512" width="8.6640625" style="325" customWidth="1"/>
    <col min="9513" max="9513" width="8.33203125" style="325" customWidth="1"/>
    <col min="9514" max="9514" width="7.109375" style="325" customWidth="1"/>
    <col min="9515" max="9515" width="9.109375" style="325" customWidth="1"/>
    <col min="9516" max="9516" width="7.5546875" style="325" customWidth="1"/>
    <col min="9517" max="9517" width="6.33203125" style="325" customWidth="1"/>
    <col min="9518" max="9518" width="8.33203125" style="325" customWidth="1"/>
    <col min="9519" max="9519" width="9.5546875" style="325" customWidth="1"/>
    <col min="9520" max="9520" width="7" style="325" customWidth="1"/>
    <col min="9521" max="9521" width="5.44140625" style="325" customWidth="1"/>
    <col min="9522" max="9728" width="11.44140625" style="325"/>
    <col min="9729" max="9729" width="4.44140625" style="325" customWidth="1"/>
    <col min="9730" max="9730" width="24.109375" style="325" customWidth="1"/>
    <col min="9731" max="9731" width="9.44140625" style="325" customWidth="1"/>
    <col min="9732" max="9732" width="8.88671875" style="325" customWidth="1"/>
    <col min="9733" max="9733" width="9.88671875" style="325" customWidth="1"/>
    <col min="9734" max="9734" width="9.109375" style="325" customWidth="1"/>
    <col min="9735" max="9735" width="8" style="325" customWidth="1"/>
    <col min="9736" max="9736" width="11" style="325" customWidth="1"/>
    <col min="9737" max="9738" width="7.5546875" style="325" customWidth="1"/>
    <col min="9739" max="9739" width="7.44140625" style="325" customWidth="1"/>
    <col min="9740" max="9740" width="7.88671875" style="325" customWidth="1"/>
    <col min="9741" max="9741" width="9.109375" style="325" customWidth="1"/>
    <col min="9742" max="9742" width="8" style="325" customWidth="1"/>
    <col min="9743" max="9743" width="7.5546875" style="325" customWidth="1"/>
    <col min="9744" max="9745" width="6.44140625" style="325" customWidth="1"/>
    <col min="9746" max="9746" width="7.6640625" style="325" customWidth="1"/>
    <col min="9747" max="9747" width="6.44140625" style="325" customWidth="1"/>
    <col min="9748" max="9748" width="7.5546875" style="325" customWidth="1"/>
    <col min="9749" max="9754" width="6.44140625" style="325" customWidth="1"/>
    <col min="9755" max="9755" width="5.44140625" style="325" customWidth="1"/>
    <col min="9756" max="9756" width="9" style="325" customWidth="1"/>
    <col min="9757" max="9757" width="9.5546875" style="325" customWidth="1"/>
    <col min="9758" max="9758" width="8.5546875" style="325" customWidth="1"/>
    <col min="9759" max="9759" width="7.44140625" style="325" customWidth="1"/>
    <col min="9760" max="9760" width="7.109375" style="325" customWidth="1"/>
    <col min="9761" max="9761" width="8.109375" style="325" customWidth="1"/>
    <col min="9762" max="9765" width="6.44140625" style="325" customWidth="1"/>
    <col min="9766" max="9766" width="9.33203125" style="325" customWidth="1"/>
    <col min="9767" max="9767" width="7.44140625" style="325" customWidth="1"/>
    <col min="9768" max="9768" width="8.6640625" style="325" customWidth="1"/>
    <col min="9769" max="9769" width="8.33203125" style="325" customWidth="1"/>
    <col min="9770" max="9770" width="7.109375" style="325" customWidth="1"/>
    <col min="9771" max="9771" width="9.109375" style="325" customWidth="1"/>
    <col min="9772" max="9772" width="7.5546875" style="325" customWidth="1"/>
    <col min="9773" max="9773" width="6.33203125" style="325" customWidth="1"/>
    <col min="9774" max="9774" width="8.33203125" style="325" customWidth="1"/>
    <col min="9775" max="9775" width="9.5546875" style="325" customWidth="1"/>
    <col min="9776" max="9776" width="7" style="325" customWidth="1"/>
    <col min="9777" max="9777" width="5.44140625" style="325" customWidth="1"/>
    <col min="9778" max="9984" width="11.44140625" style="325"/>
    <col min="9985" max="9985" width="4.44140625" style="325" customWidth="1"/>
    <col min="9986" max="9986" width="24.109375" style="325" customWidth="1"/>
    <col min="9987" max="9987" width="9.44140625" style="325" customWidth="1"/>
    <col min="9988" max="9988" width="8.88671875" style="325" customWidth="1"/>
    <col min="9989" max="9989" width="9.88671875" style="325" customWidth="1"/>
    <col min="9990" max="9990" width="9.109375" style="325" customWidth="1"/>
    <col min="9991" max="9991" width="8" style="325" customWidth="1"/>
    <col min="9992" max="9992" width="11" style="325" customWidth="1"/>
    <col min="9993" max="9994" width="7.5546875" style="325" customWidth="1"/>
    <col min="9995" max="9995" width="7.44140625" style="325" customWidth="1"/>
    <col min="9996" max="9996" width="7.88671875" style="325" customWidth="1"/>
    <col min="9997" max="9997" width="9.109375" style="325" customWidth="1"/>
    <col min="9998" max="9998" width="8" style="325" customWidth="1"/>
    <col min="9999" max="9999" width="7.5546875" style="325" customWidth="1"/>
    <col min="10000" max="10001" width="6.44140625" style="325" customWidth="1"/>
    <col min="10002" max="10002" width="7.6640625" style="325" customWidth="1"/>
    <col min="10003" max="10003" width="6.44140625" style="325" customWidth="1"/>
    <col min="10004" max="10004" width="7.5546875" style="325" customWidth="1"/>
    <col min="10005" max="10010" width="6.44140625" style="325" customWidth="1"/>
    <col min="10011" max="10011" width="5.44140625" style="325" customWidth="1"/>
    <col min="10012" max="10012" width="9" style="325" customWidth="1"/>
    <col min="10013" max="10013" width="9.5546875" style="325" customWidth="1"/>
    <col min="10014" max="10014" width="8.5546875" style="325" customWidth="1"/>
    <col min="10015" max="10015" width="7.44140625" style="325" customWidth="1"/>
    <col min="10016" max="10016" width="7.109375" style="325" customWidth="1"/>
    <col min="10017" max="10017" width="8.109375" style="325" customWidth="1"/>
    <col min="10018" max="10021" width="6.44140625" style="325" customWidth="1"/>
    <col min="10022" max="10022" width="9.33203125" style="325" customWidth="1"/>
    <col min="10023" max="10023" width="7.44140625" style="325" customWidth="1"/>
    <col min="10024" max="10024" width="8.6640625" style="325" customWidth="1"/>
    <col min="10025" max="10025" width="8.33203125" style="325" customWidth="1"/>
    <col min="10026" max="10026" width="7.109375" style="325" customWidth="1"/>
    <col min="10027" max="10027" width="9.109375" style="325" customWidth="1"/>
    <col min="10028" max="10028" width="7.5546875" style="325" customWidth="1"/>
    <col min="10029" max="10029" width="6.33203125" style="325" customWidth="1"/>
    <col min="10030" max="10030" width="8.33203125" style="325" customWidth="1"/>
    <col min="10031" max="10031" width="9.5546875" style="325" customWidth="1"/>
    <col min="10032" max="10032" width="7" style="325" customWidth="1"/>
    <col min="10033" max="10033" width="5.44140625" style="325" customWidth="1"/>
    <col min="10034" max="10240" width="11.44140625" style="325"/>
    <col min="10241" max="10241" width="4.44140625" style="325" customWidth="1"/>
    <col min="10242" max="10242" width="24.109375" style="325" customWidth="1"/>
    <col min="10243" max="10243" width="9.44140625" style="325" customWidth="1"/>
    <col min="10244" max="10244" width="8.88671875" style="325" customWidth="1"/>
    <col min="10245" max="10245" width="9.88671875" style="325" customWidth="1"/>
    <col min="10246" max="10246" width="9.109375" style="325" customWidth="1"/>
    <col min="10247" max="10247" width="8" style="325" customWidth="1"/>
    <col min="10248" max="10248" width="11" style="325" customWidth="1"/>
    <col min="10249" max="10250" width="7.5546875" style="325" customWidth="1"/>
    <col min="10251" max="10251" width="7.44140625" style="325" customWidth="1"/>
    <col min="10252" max="10252" width="7.88671875" style="325" customWidth="1"/>
    <col min="10253" max="10253" width="9.109375" style="325" customWidth="1"/>
    <col min="10254" max="10254" width="8" style="325" customWidth="1"/>
    <col min="10255" max="10255" width="7.5546875" style="325" customWidth="1"/>
    <col min="10256" max="10257" width="6.44140625" style="325" customWidth="1"/>
    <col min="10258" max="10258" width="7.6640625" style="325" customWidth="1"/>
    <col min="10259" max="10259" width="6.44140625" style="325" customWidth="1"/>
    <col min="10260" max="10260" width="7.5546875" style="325" customWidth="1"/>
    <col min="10261" max="10266" width="6.44140625" style="325" customWidth="1"/>
    <col min="10267" max="10267" width="5.44140625" style="325" customWidth="1"/>
    <col min="10268" max="10268" width="9" style="325" customWidth="1"/>
    <col min="10269" max="10269" width="9.5546875" style="325" customWidth="1"/>
    <col min="10270" max="10270" width="8.5546875" style="325" customWidth="1"/>
    <col min="10271" max="10271" width="7.44140625" style="325" customWidth="1"/>
    <col min="10272" max="10272" width="7.109375" style="325" customWidth="1"/>
    <col min="10273" max="10273" width="8.109375" style="325" customWidth="1"/>
    <col min="10274" max="10277" width="6.44140625" style="325" customWidth="1"/>
    <col min="10278" max="10278" width="9.33203125" style="325" customWidth="1"/>
    <col min="10279" max="10279" width="7.44140625" style="325" customWidth="1"/>
    <col min="10280" max="10280" width="8.6640625" style="325" customWidth="1"/>
    <col min="10281" max="10281" width="8.33203125" style="325" customWidth="1"/>
    <col min="10282" max="10282" width="7.109375" style="325" customWidth="1"/>
    <col min="10283" max="10283" width="9.109375" style="325" customWidth="1"/>
    <col min="10284" max="10284" width="7.5546875" style="325" customWidth="1"/>
    <col min="10285" max="10285" width="6.33203125" style="325" customWidth="1"/>
    <col min="10286" max="10286" width="8.33203125" style="325" customWidth="1"/>
    <col min="10287" max="10287" width="9.5546875" style="325" customWidth="1"/>
    <col min="10288" max="10288" width="7" style="325" customWidth="1"/>
    <col min="10289" max="10289" width="5.44140625" style="325" customWidth="1"/>
    <col min="10290" max="10496" width="11.44140625" style="325"/>
    <col min="10497" max="10497" width="4.44140625" style="325" customWidth="1"/>
    <col min="10498" max="10498" width="24.109375" style="325" customWidth="1"/>
    <col min="10499" max="10499" width="9.44140625" style="325" customWidth="1"/>
    <col min="10500" max="10500" width="8.88671875" style="325" customWidth="1"/>
    <col min="10501" max="10501" width="9.88671875" style="325" customWidth="1"/>
    <col min="10502" max="10502" width="9.109375" style="325" customWidth="1"/>
    <col min="10503" max="10503" width="8" style="325" customWidth="1"/>
    <col min="10504" max="10504" width="11" style="325" customWidth="1"/>
    <col min="10505" max="10506" width="7.5546875" style="325" customWidth="1"/>
    <col min="10507" max="10507" width="7.44140625" style="325" customWidth="1"/>
    <col min="10508" max="10508" width="7.88671875" style="325" customWidth="1"/>
    <col min="10509" max="10509" width="9.109375" style="325" customWidth="1"/>
    <col min="10510" max="10510" width="8" style="325" customWidth="1"/>
    <col min="10511" max="10511" width="7.5546875" style="325" customWidth="1"/>
    <col min="10512" max="10513" width="6.44140625" style="325" customWidth="1"/>
    <col min="10514" max="10514" width="7.6640625" style="325" customWidth="1"/>
    <col min="10515" max="10515" width="6.44140625" style="325" customWidth="1"/>
    <col min="10516" max="10516" width="7.5546875" style="325" customWidth="1"/>
    <col min="10517" max="10522" width="6.44140625" style="325" customWidth="1"/>
    <col min="10523" max="10523" width="5.44140625" style="325" customWidth="1"/>
    <col min="10524" max="10524" width="9" style="325" customWidth="1"/>
    <col min="10525" max="10525" width="9.5546875" style="325" customWidth="1"/>
    <col min="10526" max="10526" width="8.5546875" style="325" customWidth="1"/>
    <col min="10527" max="10527" width="7.44140625" style="325" customWidth="1"/>
    <col min="10528" max="10528" width="7.109375" style="325" customWidth="1"/>
    <col min="10529" max="10529" width="8.109375" style="325" customWidth="1"/>
    <col min="10530" max="10533" width="6.44140625" style="325" customWidth="1"/>
    <col min="10534" max="10534" width="9.33203125" style="325" customWidth="1"/>
    <col min="10535" max="10535" width="7.44140625" style="325" customWidth="1"/>
    <col min="10536" max="10536" width="8.6640625" style="325" customWidth="1"/>
    <col min="10537" max="10537" width="8.33203125" style="325" customWidth="1"/>
    <col min="10538" max="10538" width="7.109375" style="325" customWidth="1"/>
    <col min="10539" max="10539" width="9.109375" style="325" customWidth="1"/>
    <col min="10540" max="10540" width="7.5546875" style="325" customWidth="1"/>
    <col min="10541" max="10541" width="6.33203125" style="325" customWidth="1"/>
    <col min="10542" max="10542" width="8.33203125" style="325" customWidth="1"/>
    <col min="10543" max="10543" width="9.5546875" style="325" customWidth="1"/>
    <col min="10544" max="10544" width="7" style="325" customWidth="1"/>
    <col min="10545" max="10545" width="5.44140625" style="325" customWidth="1"/>
    <col min="10546" max="10752" width="11.44140625" style="325"/>
    <col min="10753" max="10753" width="4.44140625" style="325" customWidth="1"/>
    <col min="10754" max="10754" width="24.109375" style="325" customWidth="1"/>
    <col min="10755" max="10755" width="9.44140625" style="325" customWidth="1"/>
    <col min="10756" max="10756" width="8.88671875" style="325" customWidth="1"/>
    <col min="10757" max="10757" width="9.88671875" style="325" customWidth="1"/>
    <col min="10758" max="10758" width="9.109375" style="325" customWidth="1"/>
    <col min="10759" max="10759" width="8" style="325" customWidth="1"/>
    <col min="10760" max="10760" width="11" style="325" customWidth="1"/>
    <col min="10761" max="10762" width="7.5546875" style="325" customWidth="1"/>
    <col min="10763" max="10763" width="7.44140625" style="325" customWidth="1"/>
    <col min="10764" max="10764" width="7.88671875" style="325" customWidth="1"/>
    <col min="10765" max="10765" width="9.109375" style="325" customWidth="1"/>
    <col min="10766" max="10766" width="8" style="325" customWidth="1"/>
    <col min="10767" max="10767" width="7.5546875" style="325" customWidth="1"/>
    <col min="10768" max="10769" width="6.44140625" style="325" customWidth="1"/>
    <col min="10770" max="10770" width="7.6640625" style="325" customWidth="1"/>
    <col min="10771" max="10771" width="6.44140625" style="325" customWidth="1"/>
    <col min="10772" max="10772" width="7.5546875" style="325" customWidth="1"/>
    <col min="10773" max="10778" width="6.44140625" style="325" customWidth="1"/>
    <col min="10779" max="10779" width="5.44140625" style="325" customWidth="1"/>
    <col min="10780" max="10780" width="9" style="325" customWidth="1"/>
    <col min="10781" max="10781" width="9.5546875" style="325" customWidth="1"/>
    <col min="10782" max="10782" width="8.5546875" style="325" customWidth="1"/>
    <col min="10783" max="10783" width="7.44140625" style="325" customWidth="1"/>
    <col min="10784" max="10784" width="7.109375" style="325" customWidth="1"/>
    <col min="10785" max="10785" width="8.109375" style="325" customWidth="1"/>
    <col min="10786" max="10789" width="6.44140625" style="325" customWidth="1"/>
    <col min="10790" max="10790" width="9.33203125" style="325" customWidth="1"/>
    <col min="10791" max="10791" width="7.44140625" style="325" customWidth="1"/>
    <col min="10792" max="10792" width="8.6640625" style="325" customWidth="1"/>
    <col min="10793" max="10793" width="8.33203125" style="325" customWidth="1"/>
    <col min="10794" max="10794" width="7.109375" style="325" customWidth="1"/>
    <col min="10795" max="10795" width="9.109375" style="325" customWidth="1"/>
    <col min="10796" max="10796" width="7.5546875" style="325" customWidth="1"/>
    <col min="10797" max="10797" width="6.33203125" style="325" customWidth="1"/>
    <col min="10798" max="10798" width="8.33203125" style="325" customWidth="1"/>
    <col min="10799" max="10799" width="9.5546875" style="325" customWidth="1"/>
    <col min="10800" max="10800" width="7" style="325" customWidth="1"/>
    <col min="10801" max="10801" width="5.44140625" style="325" customWidth="1"/>
    <col min="10802" max="11008" width="11.44140625" style="325"/>
    <col min="11009" max="11009" width="4.44140625" style="325" customWidth="1"/>
    <col min="11010" max="11010" width="24.109375" style="325" customWidth="1"/>
    <col min="11011" max="11011" width="9.44140625" style="325" customWidth="1"/>
    <col min="11012" max="11012" width="8.88671875" style="325" customWidth="1"/>
    <col min="11013" max="11013" width="9.88671875" style="325" customWidth="1"/>
    <col min="11014" max="11014" width="9.109375" style="325" customWidth="1"/>
    <col min="11015" max="11015" width="8" style="325" customWidth="1"/>
    <col min="11016" max="11016" width="11" style="325" customWidth="1"/>
    <col min="11017" max="11018" width="7.5546875" style="325" customWidth="1"/>
    <col min="11019" max="11019" width="7.44140625" style="325" customWidth="1"/>
    <col min="11020" max="11020" width="7.88671875" style="325" customWidth="1"/>
    <col min="11021" max="11021" width="9.109375" style="325" customWidth="1"/>
    <col min="11022" max="11022" width="8" style="325" customWidth="1"/>
    <col min="11023" max="11023" width="7.5546875" style="325" customWidth="1"/>
    <col min="11024" max="11025" width="6.44140625" style="325" customWidth="1"/>
    <col min="11026" max="11026" width="7.6640625" style="325" customWidth="1"/>
    <col min="11027" max="11027" width="6.44140625" style="325" customWidth="1"/>
    <col min="11028" max="11028" width="7.5546875" style="325" customWidth="1"/>
    <col min="11029" max="11034" width="6.44140625" style="325" customWidth="1"/>
    <col min="11035" max="11035" width="5.44140625" style="325" customWidth="1"/>
    <col min="11036" max="11036" width="9" style="325" customWidth="1"/>
    <col min="11037" max="11037" width="9.5546875" style="325" customWidth="1"/>
    <col min="11038" max="11038" width="8.5546875" style="325" customWidth="1"/>
    <col min="11039" max="11039" width="7.44140625" style="325" customWidth="1"/>
    <col min="11040" max="11040" width="7.109375" style="325" customWidth="1"/>
    <col min="11041" max="11041" width="8.109375" style="325" customWidth="1"/>
    <col min="11042" max="11045" width="6.44140625" style="325" customWidth="1"/>
    <col min="11046" max="11046" width="9.33203125" style="325" customWidth="1"/>
    <col min="11047" max="11047" width="7.44140625" style="325" customWidth="1"/>
    <col min="11048" max="11048" width="8.6640625" style="325" customWidth="1"/>
    <col min="11049" max="11049" width="8.33203125" style="325" customWidth="1"/>
    <col min="11050" max="11050" width="7.109375" style="325" customWidth="1"/>
    <col min="11051" max="11051" width="9.109375" style="325" customWidth="1"/>
    <col min="11052" max="11052" width="7.5546875" style="325" customWidth="1"/>
    <col min="11053" max="11053" width="6.33203125" style="325" customWidth="1"/>
    <col min="11054" max="11054" width="8.33203125" style="325" customWidth="1"/>
    <col min="11055" max="11055" width="9.5546875" style="325" customWidth="1"/>
    <col min="11056" max="11056" width="7" style="325" customWidth="1"/>
    <col min="11057" max="11057" width="5.44140625" style="325" customWidth="1"/>
    <col min="11058" max="11264" width="11.44140625" style="325"/>
    <col min="11265" max="11265" width="4.44140625" style="325" customWidth="1"/>
    <col min="11266" max="11266" width="24.109375" style="325" customWidth="1"/>
    <col min="11267" max="11267" width="9.44140625" style="325" customWidth="1"/>
    <col min="11268" max="11268" width="8.88671875" style="325" customWidth="1"/>
    <col min="11269" max="11269" width="9.88671875" style="325" customWidth="1"/>
    <col min="11270" max="11270" width="9.109375" style="325" customWidth="1"/>
    <col min="11271" max="11271" width="8" style="325" customWidth="1"/>
    <col min="11272" max="11272" width="11" style="325" customWidth="1"/>
    <col min="11273" max="11274" width="7.5546875" style="325" customWidth="1"/>
    <col min="11275" max="11275" width="7.44140625" style="325" customWidth="1"/>
    <col min="11276" max="11276" width="7.88671875" style="325" customWidth="1"/>
    <col min="11277" max="11277" width="9.109375" style="325" customWidth="1"/>
    <col min="11278" max="11278" width="8" style="325" customWidth="1"/>
    <col min="11279" max="11279" width="7.5546875" style="325" customWidth="1"/>
    <col min="11280" max="11281" width="6.44140625" style="325" customWidth="1"/>
    <col min="11282" max="11282" width="7.6640625" style="325" customWidth="1"/>
    <col min="11283" max="11283" width="6.44140625" style="325" customWidth="1"/>
    <col min="11284" max="11284" width="7.5546875" style="325" customWidth="1"/>
    <col min="11285" max="11290" width="6.44140625" style="325" customWidth="1"/>
    <col min="11291" max="11291" width="5.44140625" style="325" customWidth="1"/>
    <col min="11292" max="11292" width="9" style="325" customWidth="1"/>
    <col min="11293" max="11293" width="9.5546875" style="325" customWidth="1"/>
    <col min="11294" max="11294" width="8.5546875" style="325" customWidth="1"/>
    <col min="11295" max="11295" width="7.44140625" style="325" customWidth="1"/>
    <col min="11296" max="11296" width="7.109375" style="325" customWidth="1"/>
    <col min="11297" max="11297" width="8.109375" style="325" customWidth="1"/>
    <col min="11298" max="11301" width="6.44140625" style="325" customWidth="1"/>
    <col min="11302" max="11302" width="9.33203125" style="325" customWidth="1"/>
    <col min="11303" max="11303" width="7.44140625" style="325" customWidth="1"/>
    <col min="11304" max="11304" width="8.6640625" style="325" customWidth="1"/>
    <col min="11305" max="11305" width="8.33203125" style="325" customWidth="1"/>
    <col min="11306" max="11306" width="7.109375" style="325" customWidth="1"/>
    <col min="11307" max="11307" width="9.109375" style="325" customWidth="1"/>
    <col min="11308" max="11308" width="7.5546875" style="325" customWidth="1"/>
    <col min="11309" max="11309" width="6.33203125" style="325" customWidth="1"/>
    <col min="11310" max="11310" width="8.33203125" style="325" customWidth="1"/>
    <col min="11311" max="11311" width="9.5546875" style="325" customWidth="1"/>
    <col min="11312" max="11312" width="7" style="325" customWidth="1"/>
    <col min="11313" max="11313" width="5.44140625" style="325" customWidth="1"/>
    <col min="11314" max="11520" width="11.44140625" style="325"/>
    <col min="11521" max="11521" width="4.44140625" style="325" customWidth="1"/>
    <col min="11522" max="11522" width="24.109375" style="325" customWidth="1"/>
    <col min="11523" max="11523" width="9.44140625" style="325" customWidth="1"/>
    <col min="11524" max="11524" width="8.88671875" style="325" customWidth="1"/>
    <col min="11525" max="11525" width="9.88671875" style="325" customWidth="1"/>
    <col min="11526" max="11526" width="9.109375" style="325" customWidth="1"/>
    <col min="11527" max="11527" width="8" style="325" customWidth="1"/>
    <col min="11528" max="11528" width="11" style="325" customWidth="1"/>
    <col min="11529" max="11530" width="7.5546875" style="325" customWidth="1"/>
    <col min="11531" max="11531" width="7.44140625" style="325" customWidth="1"/>
    <col min="11532" max="11532" width="7.88671875" style="325" customWidth="1"/>
    <col min="11533" max="11533" width="9.109375" style="325" customWidth="1"/>
    <col min="11534" max="11534" width="8" style="325" customWidth="1"/>
    <col min="11535" max="11535" width="7.5546875" style="325" customWidth="1"/>
    <col min="11536" max="11537" width="6.44140625" style="325" customWidth="1"/>
    <col min="11538" max="11538" width="7.6640625" style="325" customWidth="1"/>
    <col min="11539" max="11539" width="6.44140625" style="325" customWidth="1"/>
    <col min="11540" max="11540" width="7.5546875" style="325" customWidth="1"/>
    <col min="11541" max="11546" width="6.44140625" style="325" customWidth="1"/>
    <col min="11547" max="11547" width="5.44140625" style="325" customWidth="1"/>
    <col min="11548" max="11548" width="9" style="325" customWidth="1"/>
    <col min="11549" max="11549" width="9.5546875" style="325" customWidth="1"/>
    <col min="11550" max="11550" width="8.5546875" style="325" customWidth="1"/>
    <col min="11551" max="11551" width="7.44140625" style="325" customWidth="1"/>
    <col min="11552" max="11552" width="7.109375" style="325" customWidth="1"/>
    <col min="11553" max="11553" width="8.109375" style="325" customWidth="1"/>
    <col min="11554" max="11557" width="6.44140625" style="325" customWidth="1"/>
    <col min="11558" max="11558" width="9.33203125" style="325" customWidth="1"/>
    <col min="11559" max="11559" width="7.44140625" style="325" customWidth="1"/>
    <col min="11560" max="11560" width="8.6640625" style="325" customWidth="1"/>
    <col min="11561" max="11561" width="8.33203125" style="325" customWidth="1"/>
    <col min="11562" max="11562" width="7.109375" style="325" customWidth="1"/>
    <col min="11563" max="11563" width="9.109375" style="325" customWidth="1"/>
    <col min="11564" max="11564" width="7.5546875" style="325" customWidth="1"/>
    <col min="11565" max="11565" width="6.33203125" style="325" customWidth="1"/>
    <col min="11566" max="11566" width="8.33203125" style="325" customWidth="1"/>
    <col min="11567" max="11567" width="9.5546875" style="325" customWidth="1"/>
    <col min="11568" max="11568" width="7" style="325" customWidth="1"/>
    <col min="11569" max="11569" width="5.44140625" style="325" customWidth="1"/>
    <col min="11570" max="11776" width="11.44140625" style="325"/>
    <col min="11777" max="11777" width="4.44140625" style="325" customWidth="1"/>
    <col min="11778" max="11778" width="24.109375" style="325" customWidth="1"/>
    <col min="11779" max="11779" width="9.44140625" style="325" customWidth="1"/>
    <col min="11780" max="11780" width="8.88671875" style="325" customWidth="1"/>
    <col min="11781" max="11781" width="9.88671875" style="325" customWidth="1"/>
    <col min="11782" max="11782" width="9.109375" style="325" customWidth="1"/>
    <col min="11783" max="11783" width="8" style="325" customWidth="1"/>
    <col min="11784" max="11784" width="11" style="325" customWidth="1"/>
    <col min="11785" max="11786" width="7.5546875" style="325" customWidth="1"/>
    <col min="11787" max="11787" width="7.44140625" style="325" customWidth="1"/>
    <col min="11788" max="11788" width="7.88671875" style="325" customWidth="1"/>
    <col min="11789" max="11789" width="9.109375" style="325" customWidth="1"/>
    <col min="11790" max="11790" width="8" style="325" customWidth="1"/>
    <col min="11791" max="11791" width="7.5546875" style="325" customWidth="1"/>
    <col min="11792" max="11793" width="6.44140625" style="325" customWidth="1"/>
    <col min="11794" max="11794" width="7.6640625" style="325" customWidth="1"/>
    <col min="11795" max="11795" width="6.44140625" style="325" customWidth="1"/>
    <col min="11796" max="11796" width="7.5546875" style="325" customWidth="1"/>
    <col min="11797" max="11802" width="6.44140625" style="325" customWidth="1"/>
    <col min="11803" max="11803" width="5.44140625" style="325" customWidth="1"/>
    <col min="11804" max="11804" width="9" style="325" customWidth="1"/>
    <col min="11805" max="11805" width="9.5546875" style="325" customWidth="1"/>
    <col min="11806" max="11806" width="8.5546875" style="325" customWidth="1"/>
    <col min="11807" max="11807" width="7.44140625" style="325" customWidth="1"/>
    <col min="11808" max="11808" width="7.109375" style="325" customWidth="1"/>
    <col min="11809" max="11809" width="8.109375" style="325" customWidth="1"/>
    <col min="11810" max="11813" width="6.44140625" style="325" customWidth="1"/>
    <col min="11814" max="11814" width="9.33203125" style="325" customWidth="1"/>
    <col min="11815" max="11815" width="7.44140625" style="325" customWidth="1"/>
    <col min="11816" max="11816" width="8.6640625" style="325" customWidth="1"/>
    <col min="11817" max="11817" width="8.33203125" style="325" customWidth="1"/>
    <col min="11818" max="11818" width="7.109375" style="325" customWidth="1"/>
    <col min="11819" max="11819" width="9.109375" style="325" customWidth="1"/>
    <col min="11820" max="11820" width="7.5546875" style="325" customWidth="1"/>
    <col min="11821" max="11821" width="6.33203125" style="325" customWidth="1"/>
    <col min="11822" max="11822" width="8.33203125" style="325" customWidth="1"/>
    <col min="11823" max="11823" width="9.5546875" style="325" customWidth="1"/>
    <col min="11824" max="11824" width="7" style="325" customWidth="1"/>
    <col min="11825" max="11825" width="5.44140625" style="325" customWidth="1"/>
    <col min="11826" max="12032" width="11.44140625" style="325"/>
    <col min="12033" max="12033" width="4.44140625" style="325" customWidth="1"/>
    <col min="12034" max="12034" width="24.109375" style="325" customWidth="1"/>
    <col min="12035" max="12035" width="9.44140625" style="325" customWidth="1"/>
    <col min="12036" max="12036" width="8.88671875" style="325" customWidth="1"/>
    <col min="12037" max="12037" width="9.88671875" style="325" customWidth="1"/>
    <col min="12038" max="12038" width="9.109375" style="325" customWidth="1"/>
    <col min="12039" max="12039" width="8" style="325" customWidth="1"/>
    <col min="12040" max="12040" width="11" style="325" customWidth="1"/>
    <col min="12041" max="12042" width="7.5546875" style="325" customWidth="1"/>
    <col min="12043" max="12043" width="7.44140625" style="325" customWidth="1"/>
    <col min="12044" max="12044" width="7.88671875" style="325" customWidth="1"/>
    <col min="12045" max="12045" width="9.109375" style="325" customWidth="1"/>
    <col min="12046" max="12046" width="8" style="325" customWidth="1"/>
    <col min="12047" max="12047" width="7.5546875" style="325" customWidth="1"/>
    <col min="12048" max="12049" width="6.44140625" style="325" customWidth="1"/>
    <col min="12050" max="12050" width="7.6640625" style="325" customWidth="1"/>
    <col min="12051" max="12051" width="6.44140625" style="325" customWidth="1"/>
    <col min="12052" max="12052" width="7.5546875" style="325" customWidth="1"/>
    <col min="12053" max="12058" width="6.44140625" style="325" customWidth="1"/>
    <col min="12059" max="12059" width="5.44140625" style="325" customWidth="1"/>
    <col min="12060" max="12060" width="9" style="325" customWidth="1"/>
    <col min="12061" max="12061" width="9.5546875" style="325" customWidth="1"/>
    <col min="12062" max="12062" width="8.5546875" style="325" customWidth="1"/>
    <col min="12063" max="12063" width="7.44140625" style="325" customWidth="1"/>
    <col min="12064" max="12064" width="7.109375" style="325" customWidth="1"/>
    <col min="12065" max="12065" width="8.109375" style="325" customWidth="1"/>
    <col min="12066" max="12069" width="6.44140625" style="325" customWidth="1"/>
    <col min="12070" max="12070" width="9.33203125" style="325" customWidth="1"/>
    <col min="12071" max="12071" width="7.44140625" style="325" customWidth="1"/>
    <col min="12072" max="12072" width="8.6640625" style="325" customWidth="1"/>
    <col min="12073" max="12073" width="8.33203125" style="325" customWidth="1"/>
    <col min="12074" max="12074" width="7.109375" style="325" customWidth="1"/>
    <col min="12075" max="12075" width="9.109375" style="325" customWidth="1"/>
    <col min="12076" max="12076" width="7.5546875" style="325" customWidth="1"/>
    <col min="12077" max="12077" width="6.33203125" style="325" customWidth="1"/>
    <col min="12078" max="12078" width="8.33203125" style="325" customWidth="1"/>
    <col min="12079" max="12079" width="9.5546875" style="325" customWidth="1"/>
    <col min="12080" max="12080" width="7" style="325" customWidth="1"/>
    <col min="12081" max="12081" width="5.44140625" style="325" customWidth="1"/>
    <col min="12082" max="12288" width="11.44140625" style="325"/>
    <col min="12289" max="12289" width="4.44140625" style="325" customWidth="1"/>
    <col min="12290" max="12290" width="24.109375" style="325" customWidth="1"/>
    <col min="12291" max="12291" width="9.44140625" style="325" customWidth="1"/>
    <col min="12292" max="12292" width="8.88671875" style="325" customWidth="1"/>
    <col min="12293" max="12293" width="9.88671875" style="325" customWidth="1"/>
    <col min="12294" max="12294" width="9.109375" style="325" customWidth="1"/>
    <col min="12295" max="12295" width="8" style="325" customWidth="1"/>
    <col min="12296" max="12296" width="11" style="325" customWidth="1"/>
    <col min="12297" max="12298" width="7.5546875" style="325" customWidth="1"/>
    <col min="12299" max="12299" width="7.44140625" style="325" customWidth="1"/>
    <col min="12300" max="12300" width="7.88671875" style="325" customWidth="1"/>
    <col min="12301" max="12301" width="9.109375" style="325" customWidth="1"/>
    <col min="12302" max="12302" width="8" style="325" customWidth="1"/>
    <col min="12303" max="12303" width="7.5546875" style="325" customWidth="1"/>
    <col min="12304" max="12305" width="6.44140625" style="325" customWidth="1"/>
    <col min="12306" max="12306" width="7.6640625" style="325" customWidth="1"/>
    <col min="12307" max="12307" width="6.44140625" style="325" customWidth="1"/>
    <col min="12308" max="12308" width="7.5546875" style="325" customWidth="1"/>
    <col min="12309" max="12314" width="6.44140625" style="325" customWidth="1"/>
    <col min="12315" max="12315" width="5.44140625" style="325" customWidth="1"/>
    <col min="12316" max="12316" width="9" style="325" customWidth="1"/>
    <col min="12317" max="12317" width="9.5546875" style="325" customWidth="1"/>
    <col min="12318" max="12318" width="8.5546875" style="325" customWidth="1"/>
    <col min="12319" max="12319" width="7.44140625" style="325" customWidth="1"/>
    <col min="12320" max="12320" width="7.109375" style="325" customWidth="1"/>
    <col min="12321" max="12321" width="8.109375" style="325" customWidth="1"/>
    <col min="12322" max="12325" width="6.44140625" style="325" customWidth="1"/>
    <col min="12326" max="12326" width="9.33203125" style="325" customWidth="1"/>
    <col min="12327" max="12327" width="7.44140625" style="325" customWidth="1"/>
    <col min="12328" max="12328" width="8.6640625" style="325" customWidth="1"/>
    <col min="12329" max="12329" width="8.33203125" style="325" customWidth="1"/>
    <col min="12330" max="12330" width="7.109375" style="325" customWidth="1"/>
    <col min="12331" max="12331" width="9.109375" style="325" customWidth="1"/>
    <col min="12332" max="12332" width="7.5546875" style="325" customWidth="1"/>
    <col min="12333" max="12333" width="6.33203125" style="325" customWidth="1"/>
    <col min="12334" max="12334" width="8.33203125" style="325" customWidth="1"/>
    <col min="12335" max="12335" width="9.5546875" style="325" customWidth="1"/>
    <col min="12336" max="12336" width="7" style="325" customWidth="1"/>
    <col min="12337" max="12337" width="5.44140625" style="325" customWidth="1"/>
    <col min="12338" max="12544" width="11.44140625" style="325"/>
    <col min="12545" max="12545" width="4.44140625" style="325" customWidth="1"/>
    <col min="12546" max="12546" width="24.109375" style="325" customWidth="1"/>
    <col min="12547" max="12547" width="9.44140625" style="325" customWidth="1"/>
    <col min="12548" max="12548" width="8.88671875" style="325" customWidth="1"/>
    <col min="12549" max="12549" width="9.88671875" style="325" customWidth="1"/>
    <col min="12550" max="12550" width="9.109375" style="325" customWidth="1"/>
    <col min="12551" max="12551" width="8" style="325" customWidth="1"/>
    <col min="12552" max="12552" width="11" style="325" customWidth="1"/>
    <col min="12553" max="12554" width="7.5546875" style="325" customWidth="1"/>
    <col min="12555" max="12555" width="7.44140625" style="325" customWidth="1"/>
    <col min="12556" max="12556" width="7.88671875" style="325" customWidth="1"/>
    <col min="12557" max="12557" width="9.109375" style="325" customWidth="1"/>
    <col min="12558" max="12558" width="8" style="325" customWidth="1"/>
    <col min="12559" max="12559" width="7.5546875" style="325" customWidth="1"/>
    <col min="12560" max="12561" width="6.44140625" style="325" customWidth="1"/>
    <col min="12562" max="12562" width="7.6640625" style="325" customWidth="1"/>
    <col min="12563" max="12563" width="6.44140625" style="325" customWidth="1"/>
    <col min="12564" max="12564" width="7.5546875" style="325" customWidth="1"/>
    <col min="12565" max="12570" width="6.44140625" style="325" customWidth="1"/>
    <col min="12571" max="12571" width="5.44140625" style="325" customWidth="1"/>
    <col min="12572" max="12572" width="9" style="325" customWidth="1"/>
    <col min="12573" max="12573" width="9.5546875" style="325" customWidth="1"/>
    <col min="12574" max="12574" width="8.5546875" style="325" customWidth="1"/>
    <col min="12575" max="12575" width="7.44140625" style="325" customWidth="1"/>
    <col min="12576" max="12576" width="7.109375" style="325" customWidth="1"/>
    <col min="12577" max="12577" width="8.109375" style="325" customWidth="1"/>
    <col min="12578" max="12581" width="6.44140625" style="325" customWidth="1"/>
    <col min="12582" max="12582" width="9.33203125" style="325" customWidth="1"/>
    <col min="12583" max="12583" width="7.44140625" style="325" customWidth="1"/>
    <col min="12584" max="12584" width="8.6640625" style="325" customWidth="1"/>
    <col min="12585" max="12585" width="8.33203125" style="325" customWidth="1"/>
    <col min="12586" max="12586" width="7.109375" style="325" customWidth="1"/>
    <col min="12587" max="12587" width="9.109375" style="325" customWidth="1"/>
    <col min="12588" max="12588" width="7.5546875" style="325" customWidth="1"/>
    <col min="12589" max="12589" width="6.33203125" style="325" customWidth="1"/>
    <col min="12590" max="12590" width="8.33203125" style="325" customWidth="1"/>
    <col min="12591" max="12591" width="9.5546875" style="325" customWidth="1"/>
    <col min="12592" max="12592" width="7" style="325" customWidth="1"/>
    <col min="12593" max="12593" width="5.44140625" style="325" customWidth="1"/>
    <col min="12594" max="12800" width="11.44140625" style="325"/>
    <col min="12801" max="12801" width="4.44140625" style="325" customWidth="1"/>
    <col min="12802" max="12802" width="24.109375" style="325" customWidth="1"/>
    <col min="12803" max="12803" width="9.44140625" style="325" customWidth="1"/>
    <col min="12804" max="12804" width="8.88671875" style="325" customWidth="1"/>
    <col min="12805" max="12805" width="9.88671875" style="325" customWidth="1"/>
    <col min="12806" max="12806" width="9.109375" style="325" customWidth="1"/>
    <col min="12807" max="12807" width="8" style="325" customWidth="1"/>
    <col min="12808" max="12808" width="11" style="325" customWidth="1"/>
    <col min="12809" max="12810" width="7.5546875" style="325" customWidth="1"/>
    <col min="12811" max="12811" width="7.44140625" style="325" customWidth="1"/>
    <col min="12812" max="12812" width="7.88671875" style="325" customWidth="1"/>
    <col min="12813" max="12813" width="9.109375" style="325" customWidth="1"/>
    <col min="12814" max="12814" width="8" style="325" customWidth="1"/>
    <col min="12815" max="12815" width="7.5546875" style="325" customWidth="1"/>
    <col min="12816" max="12817" width="6.44140625" style="325" customWidth="1"/>
    <col min="12818" max="12818" width="7.6640625" style="325" customWidth="1"/>
    <col min="12819" max="12819" width="6.44140625" style="325" customWidth="1"/>
    <col min="12820" max="12820" width="7.5546875" style="325" customWidth="1"/>
    <col min="12821" max="12826" width="6.44140625" style="325" customWidth="1"/>
    <col min="12827" max="12827" width="5.44140625" style="325" customWidth="1"/>
    <col min="12828" max="12828" width="9" style="325" customWidth="1"/>
    <col min="12829" max="12829" width="9.5546875" style="325" customWidth="1"/>
    <col min="12830" max="12830" width="8.5546875" style="325" customWidth="1"/>
    <col min="12831" max="12831" width="7.44140625" style="325" customWidth="1"/>
    <col min="12832" max="12832" width="7.109375" style="325" customWidth="1"/>
    <col min="12833" max="12833" width="8.109375" style="325" customWidth="1"/>
    <col min="12834" max="12837" width="6.44140625" style="325" customWidth="1"/>
    <col min="12838" max="12838" width="9.33203125" style="325" customWidth="1"/>
    <col min="12839" max="12839" width="7.44140625" style="325" customWidth="1"/>
    <col min="12840" max="12840" width="8.6640625" style="325" customWidth="1"/>
    <col min="12841" max="12841" width="8.33203125" style="325" customWidth="1"/>
    <col min="12842" max="12842" width="7.109375" style="325" customWidth="1"/>
    <col min="12843" max="12843" width="9.109375" style="325" customWidth="1"/>
    <col min="12844" max="12844" width="7.5546875" style="325" customWidth="1"/>
    <col min="12845" max="12845" width="6.33203125" style="325" customWidth="1"/>
    <col min="12846" max="12846" width="8.33203125" style="325" customWidth="1"/>
    <col min="12847" max="12847" width="9.5546875" style="325" customWidth="1"/>
    <col min="12848" max="12848" width="7" style="325" customWidth="1"/>
    <col min="12849" max="12849" width="5.44140625" style="325" customWidth="1"/>
    <col min="12850" max="13056" width="11.44140625" style="325"/>
    <col min="13057" max="13057" width="4.44140625" style="325" customWidth="1"/>
    <col min="13058" max="13058" width="24.109375" style="325" customWidth="1"/>
    <col min="13059" max="13059" width="9.44140625" style="325" customWidth="1"/>
    <col min="13060" max="13060" width="8.88671875" style="325" customWidth="1"/>
    <col min="13061" max="13061" width="9.88671875" style="325" customWidth="1"/>
    <col min="13062" max="13062" width="9.109375" style="325" customWidth="1"/>
    <col min="13063" max="13063" width="8" style="325" customWidth="1"/>
    <col min="13064" max="13064" width="11" style="325" customWidth="1"/>
    <col min="13065" max="13066" width="7.5546875" style="325" customWidth="1"/>
    <col min="13067" max="13067" width="7.44140625" style="325" customWidth="1"/>
    <col min="13068" max="13068" width="7.88671875" style="325" customWidth="1"/>
    <col min="13069" max="13069" width="9.109375" style="325" customWidth="1"/>
    <col min="13070" max="13070" width="8" style="325" customWidth="1"/>
    <col min="13071" max="13071" width="7.5546875" style="325" customWidth="1"/>
    <col min="13072" max="13073" width="6.44140625" style="325" customWidth="1"/>
    <col min="13074" max="13074" width="7.6640625" style="325" customWidth="1"/>
    <col min="13075" max="13075" width="6.44140625" style="325" customWidth="1"/>
    <col min="13076" max="13076" width="7.5546875" style="325" customWidth="1"/>
    <col min="13077" max="13082" width="6.44140625" style="325" customWidth="1"/>
    <col min="13083" max="13083" width="5.44140625" style="325" customWidth="1"/>
    <col min="13084" max="13084" width="9" style="325" customWidth="1"/>
    <col min="13085" max="13085" width="9.5546875" style="325" customWidth="1"/>
    <col min="13086" max="13086" width="8.5546875" style="325" customWidth="1"/>
    <col min="13087" max="13087" width="7.44140625" style="325" customWidth="1"/>
    <col min="13088" max="13088" width="7.109375" style="325" customWidth="1"/>
    <col min="13089" max="13089" width="8.109375" style="325" customWidth="1"/>
    <col min="13090" max="13093" width="6.44140625" style="325" customWidth="1"/>
    <col min="13094" max="13094" width="9.33203125" style="325" customWidth="1"/>
    <col min="13095" max="13095" width="7.44140625" style="325" customWidth="1"/>
    <col min="13096" max="13096" width="8.6640625" style="325" customWidth="1"/>
    <col min="13097" max="13097" width="8.33203125" style="325" customWidth="1"/>
    <col min="13098" max="13098" width="7.109375" style="325" customWidth="1"/>
    <col min="13099" max="13099" width="9.109375" style="325" customWidth="1"/>
    <col min="13100" max="13100" width="7.5546875" style="325" customWidth="1"/>
    <col min="13101" max="13101" width="6.33203125" style="325" customWidth="1"/>
    <col min="13102" max="13102" width="8.33203125" style="325" customWidth="1"/>
    <col min="13103" max="13103" width="9.5546875" style="325" customWidth="1"/>
    <col min="13104" max="13104" width="7" style="325" customWidth="1"/>
    <col min="13105" max="13105" width="5.44140625" style="325" customWidth="1"/>
    <col min="13106" max="13312" width="11.44140625" style="325"/>
    <col min="13313" max="13313" width="4.44140625" style="325" customWidth="1"/>
    <col min="13314" max="13314" width="24.109375" style="325" customWidth="1"/>
    <col min="13315" max="13315" width="9.44140625" style="325" customWidth="1"/>
    <col min="13316" max="13316" width="8.88671875" style="325" customWidth="1"/>
    <col min="13317" max="13317" width="9.88671875" style="325" customWidth="1"/>
    <col min="13318" max="13318" width="9.109375" style="325" customWidth="1"/>
    <col min="13319" max="13319" width="8" style="325" customWidth="1"/>
    <col min="13320" max="13320" width="11" style="325" customWidth="1"/>
    <col min="13321" max="13322" width="7.5546875" style="325" customWidth="1"/>
    <col min="13323" max="13323" width="7.44140625" style="325" customWidth="1"/>
    <col min="13324" max="13324" width="7.88671875" style="325" customWidth="1"/>
    <col min="13325" max="13325" width="9.109375" style="325" customWidth="1"/>
    <col min="13326" max="13326" width="8" style="325" customWidth="1"/>
    <col min="13327" max="13327" width="7.5546875" style="325" customWidth="1"/>
    <col min="13328" max="13329" width="6.44140625" style="325" customWidth="1"/>
    <col min="13330" max="13330" width="7.6640625" style="325" customWidth="1"/>
    <col min="13331" max="13331" width="6.44140625" style="325" customWidth="1"/>
    <col min="13332" max="13332" width="7.5546875" style="325" customWidth="1"/>
    <col min="13333" max="13338" width="6.44140625" style="325" customWidth="1"/>
    <col min="13339" max="13339" width="5.44140625" style="325" customWidth="1"/>
    <col min="13340" max="13340" width="9" style="325" customWidth="1"/>
    <col min="13341" max="13341" width="9.5546875" style="325" customWidth="1"/>
    <col min="13342" max="13342" width="8.5546875" style="325" customWidth="1"/>
    <col min="13343" max="13343" width="7.44140625" style="325" customWidth="1"/>
    <col min="13344" max="13344" width="7.109375" style="325" customWidth="1"/>
    <col min="13345" max="13345" width="8.109375" style="325" customWidth="1"/>
    <col min="13346" max="13349" width="6.44140625" style="325" customWidth="1"/>
    <col min="13350" max="13350" width="9.33203125" style="325" customWidth="1"/>
    <col min="13351" max="13351" width="7.44140625" style="325" customWidth="1"/>
    <col min="13352" max="13352" width="8.6640625" style="325" customWidth="1"/>
    <col min="13353" max="13353" width="8.33203125" style="325" customWidth="1"/>
    <col min="13354" max="13354" width="7.109375" style="325" customWidth="1"/>
    <col min="13355" max="13355" width="9.109375" style="325" customWidth="1"/>
    <col min="13356" max="13356" width="7.5546875" style="325" customWidth="1"/>
    <col min="13357" max="13357" width="6.33203125" style="325" customWidth="1"/>
    <col min="13358" max="13358" width="8.33203125" style="325" customWidth="1"/>
    <col min="13359" max="13359" width="9.5546875" style="325" customWidth="1"/>
    <col min="13360" max="13360" width="7" style="325" customWidth="1"/>
    <col min="13361" max="13361" width="5.44140625" style="325" customWidth="1"/>
    <col min="13362" max="13568" width="11.44140625" style="325"/>
    <col min="13569" max="13569" width="4.44140625" style="325" customWidth="1"/>
    <col min="13570" max="13570" width="24.109375" style="325" customWidth="1"/>
    <col min="13571" max="13571" width="9.44140625" style="325" customWidth="1"/>
    <col min="13572" max="13572" width="8.88671875" style="325" customWidth="1"/>
    <col min="13573" max="13573" width="9.88671875" style="325" customWidth="1"/>
    <col min="13574" max="13574" width="9.109375" style="325" customWidth="1"/>
    <col min="13575" max="13575" width="8" style="325" customWidth="1"/>
    <col min="13576" max="13576" width="11" style="325" customWidth="1"/>
    <col min="13577" max="13578" width="7.5546875" style="325" customWidth="1"/>
    <col min="13579" max="13579" width="7.44140625" style="325" customWidth="1"/>
    <col min="13580" max="13580" width="7.88671875" style="325" customWidth="1"/>
    <col min="13581" max="13581" width="9.109375" style="325" customWidth="1"/>
    <col min="13582" max="13582" width="8" style="325" customWidth="1"/>
    <col min="13583" max="13583" width="7.5546875" style="325" customWidth="1"/>
    <col min="13584" max="13585" width="6.44140625" style="325" customWidth="1"/>
    <col min="13586" max="13586" width="7.6640625" style="325" customWidth="1"/>
    <col min="13587" max="13587" width="6.44140625" style="325" customWidth="1"/>
    <col min="13588" max="13588" width="7.5546875" style="325" customWidth="1"/>
    <col min="13589" max="13594" width="6.44140625" style="325" customWidth="1"/>
    <col min="13595" max="13595" width="5.44140625" style="325" customWidth="1"/>
    <col min="13596" max="13596" width="9" style="325" customWidth="1"/>
    <col min="13597" max="13597" width="9.5546875" style="325" customWidth="1"/>
    <col min="13598" max="13598" width="8.5546875" style="325" customWidth="1"/>
    <col min="13599" max="13599" width="7.44140625" style="325" customWidth="1"/>
    <col min="13600" max="13600" width="7.109375" style="325" customWidth="1"/>
    <col min="13601" max="13601" width="8.109375" style="325" customWidth="1"/>
    <col min="13602" max="13605" width="6.44140625" style="325" customWidth="1"/>
    <col min="13606" max="13606" width="9.33203125" style="325" customWidth="1"/>
    <col min="13607" max="13607" width="7.44140625" style="325" customWidth="1"/>
    <col min="13608" max="13608" width="8.6640625" style="325" customWidth="1"/>
    <col min="13609" max="13609" width="8.33203125" style="325" customWidth="1"/>
    <col min="13610" max="13610" width="7.109375" style="325" customWidth="1"/>
    <col min="13611" max="13611" width="9.109375" style="325" customWidth="1"/>
    <col min="13612" max="13612" width="7.5546875" style="325" customWidth="1"/>
    <col min="13613" max="13613" width="6.33203125" style="325" customWidth="1"/>
    <col min="13614" max="13614" width="8.33203125" style="325" customWidth="1"/>
    <col min="13615" max="13615" width="9.5546875" style="325" customWidth="1"/>
    <col min="13616" max="13616" width="7" style="325" customWidth="1"/>
    <col min="13617" max="13617" width="5.44140625" style="325" customWidth="1"/>
    <col min="13618" max="13824" width="11.44140625" style="325"/>
    <col min="13825" max="13825" width="4.44140625" style="325" customWidth="1"/>
    <col min="13826" max="13826" width="24.109375" style="325" customWidth="1"/>
    <col min="13827" max="13827" width="9.44140625" style="325" customWidth="1"/>
    <col min="13828" max="13828" width="8.88671875" style="325" customWidth="1"/>
    <col min="13829" max="13829" width="9.88671875" style="325" customWidth="1"/>
    <col min="13830" max="13830" width="9.109375" style="325" customWidth="1"/>
    <col min="13831" max="13831" width="8" style="325" customWidth="1"/>
    <col min="13832" max="13832" width="11" style="325" customWidth="1"/>
    <col min="13833" max="13834" width="7.5546875" style="325" customWidth="1"/>
    <col min="13835" max="13835" width="7.44140625" style="325" customWidth="1"/>
    <col min="13836" max="13836" width="7.88671875" style="325" customWidth="1"/>
    <col min="13837" max="13837" width="9.109375" style="325" customWidth="1"/>
    <col min="13838" max="13838" width="8" style="325" customWidth="1"/>
    <col min="13839" max="13839" width="7.5546875" style="325" customWidth="1"/>
    <col min="13840" max="13841" width="6.44140625" style="325" customWidth="1"/>
    <col min="13842" max="13842" width="7.6640625" style="325" customWidth="1"/>
    <col min="13843" max="13843" width="6.44140625" style="325" customWidth="1"/>
    <col min="13844" max="13844" width="7.5546875" style="325" customWidth="1"/>
    <col min="13845" max="13850" width="6.44140625" style="325" customWidth="1"/>
    <col min="13851" max="13851" width="5.44140625" style="325" customWidth="1"/>
    <col min="13852" max="13852" width="9" style="325" customWidth="1"/>
    <col min="13853" max="13853" width="9.5546875" style="325" customWidth="1"/>
    <col min="13854" max="13854" width="8.5546875" style="325" customWidth="1"/>
    <col min="13855" max="13855" width="7.44140625" style="325" customWidth="1"/>
    <col min="13856" max="13856" width="7.109375" style="325" customWidth="1"/>
    <col min="13857" max="13857" width="8.109375" style="325" customWidth="1"/>
    <col min="13858" max="13861" width="6.44140625" style="325" customWidth="1"/>
    <col min="13862" max="13862" width="9.33203125" style="325" customWidth="1"/>
    <col min="13863" max="13863" width="7.44140625" style="325" customWidth="1"/>
    <col min="13864" max="13864" width="8.6640625" style="325" customWidth="1"/>
    <col min="13865" max="13865" width="8.33203125" style="325" customWidth="1"/>
    <col min="13866" max="13866" width="7.109375" style="325" customWidth="1"/>
    <col min="13867" max="13867" width="9.109375" style="325" customWidth="1"/>
    <col min="13868" max="13868" width="7.5546875" style="325" customWidth="1"/>
    <col min="13869" max="13869" width="6.33203125" style="325" customWidth="1"/>
    <col min="13870" max="13870" width="8.33203125" style="325" customWidth="1"/>
    <col min="13871" max="13871" width="9.5546875" style="325" customWidth="1"/>
    <col min="13872" max="13872" width="7" style="325" customWidth="1"/>
    <col min="13873" max="13873" width="5.44140625" style="325" customWidth="1"/>
    <col min="13874" max="14080" width="11.44140625" style="325"/>
    <col min="14081" max="14081" width="4.44140625" style="325" customWidth="1"/>
    <col min="14082" max="14082" width="24.109375" style="325" customWidth="1"/>
    <col min="14083" max="14083" width="9.44140625" style="325" customWidth="1"/>
    <col min="14084" max="14084" width="8.88671875" style="325" customWidth="1"/>
    <col min="14085" max="14085" width="9.88671875" style="325" customWidth="1"/>
    <col min="14086" max="14086" width="9.109375" style="325" customWidth="1"/>
    <col min="14087" max="14087" width="8" style="325" customWidth="1"/>
    <col min="14088" max="14088" width="11" style="325" customWidth="1"/>
    <col min="14089" max="14090" width="7.5546875" style="325" customWidth="1"/>
    <col min="14091" max="14091" width="7.44140625" style="325" customWidth="1"/>
    <col min="14092" max="14092" width="7.88671875" style="325" customWidth="1"/>
    <col min="14093" max="14093" width="9.109375" style="325" customWidth="1"/>
    <col min="14094" max="14094" width="8" style="325" customWidth="1"/>
    <col min="14095" max="14095" width="7.5546875" style="325" customWidth="1"/>
    <col min="14096" max="14097" width="6.44140625" style="325" customWidth="1"/>
    <col min="14098" max="14098" width="7.6640625" style="325" customWidth="1"/>
    <col min="14099" max="14099" width="6.44140625" style="325" customWidth="1"/>
    <col min="14100" max="14100" width="7.5546875" style="325" customWidth="1"/>
    <col min="14101" max="14106" width="6.44140625" style="325" customWidth="1"/>
    <col min="14107" max="14107" width="5.44140625" style="325" customWidth="1"/>
    <col min="14108" max="14108" width="9" style="325" customWidth="1"/>
    <col min="14109" max="14109" width="9.5546875" style="325" customWidth="1"/>
    <col min="14110" max="14110" width="8.5546875" style="325" customWidth="1"/>
    <col min="14111" max="14111" width="7.44140625" style="325" customWidth="1"/>
    <col min="14112" max="14112" width="7.109375" style="325" customWidth="1"/>
    <col min="14113" max="14113" width="8.109375" style="325" customWidth="1"/>
    <col min="14114" max="14117" width="6.44140625" style="325" customWidth="1"/>
    <col min="14118" max="14118" width="9.33203125" style="325" customWidth="1"/>
    <col min="14119" max="14119" width="7.44140625" style="325" customWidth="1"/>
    <col min="14120" max="14120" width="8.6640625" style="325" customWidth="1"/>
    <col min="14121" max="14121" width="8.33203125" style="325" customWidth="1"/>
    <col min="14122" max="14122" width="7.109375" style="325" customWidth="1"/>
    <col min="14123" max="14123" width="9.109375" style="325" customWidth="1"/>
    <col min="14124" max="14124" width="7.5546875" style="325" customWidth="1"/>
    <col min="14125" max="14125" width="6.33203125" style="325" customWidth="1"/>
    <col min="14126" max="14126" width="8.33203125" style="325" customWidth="1"/>
    <col min="14127" max="14127" width="9.5546875" style="325" customWidth="1"/>
    <col min="14128" max="14128" width="7" style="325" customWidth="1"/>
    <col min="14129" max="14129" width="5.44140625" style="325" customWidth="1"/>
    <col min="14130" max="14336" width="11.44140625" style="325"/>
    <col min="14337" max="14337" width="4.44140625" style="325" customWidth="1"/>
    <col min="14338" max="14338" width="24.109375" style="325" customWidth="1"/>
    <col min="14339" max="14339" width="9.44140625" style="325" customWidth="1"/>
    <col min="14340" max="14340" width="8.88671875" style="325" customWidth="1"/>
    <col min="14341" max="14341" width="9.88671875" style="325" customWidth="1"/>
    <col min="14342" max="14342" width="9.109375" style="325" customWidth="1"/>
    <col min="14343" max="14343" width="8" style="325" customWidth="1"/>
    <col min="14344" max="14344" width="11" style="325" customWidth="1"/>
    <col min="14345" max="14346" width="7.5546875" style="325" customWidth="1"/>
    <col min="14347" max="14347" width="7.44140625" style="325" customWidth="1"/>
    <col min="14348" max="14348" width="7.88671875" style="325" customWidth="1"/>
    <col min="14349" max="14349" width="9.109375" style="325" customWidth="1"/>
    <col min="14350" max="14350" width="8" style="325" customWidth="1"/>
    <col min="14351" max="14351" width="7.5546875" style="325" customWidth="1"/>
    <col min="14352" max="14353" width="6.44140625" style="325" customWidth="1"/>
    <col min="14354" max="14354" width="7.6640625" style="325" customWidth="1"/>
    <col min="14355" max="14355" width="6.44140625" style="325" customWidth="1"/>
    <col min="14356" max="14356" width="7.5546875" style="325" customWidth="1"/>
    <col min="14357" max="14362" width="6.44140625" style="325" customWidth="1"/>
    <col min="14363" max="14363" width="5.44140625" style="325" customWidth="1"/>
    <col min="14364" max="14364" width="9" style="325" customWidth="1"/>
    <col min="14365" max="14365" width="9.5546875" style="325" customWidth="1"/>
    <col min="14366" max="14366" width="8.5546875" style="325" customWidth="1"/>
    <col min="14367" max="14367" width="7.44140625" style="325" customWidth="1"/>
    <col min="14368" max="14368" width="7.109375" style="325" customWidth="1"/>
    <col min="14369" max="14369" width="8.109375" style="325" customWidth="1"/>
    <col min="14370" max="14373" width="6.44140625" style="325" customWidth="1"/>
    <col min="14374" max="14374" width="9.33203125" style="325" customWidth="1"/>
    <col min="14375" max="14375" width="7.44140625" style="325" customWidth="1"/>
    <col min="14376" max="14376" width="8.6640625" style="325" customWidth="1"/>
    <col min="14377" max="14377" width="8.33203125" style="325" customWidth="1"/>
    <col min="14378" max="14378" width="7.109375" style="325" customWidth="1"/>
    <col min="14379" max="14379" width="9.109375" style="325" customWidth="1"/>
    <col min="14380" max="14380" width="7.5546875" style="325" customWidth="1"/>
    <col min="14381" max="14381" width="6.33203125" style="325" customWidth="1"/>
    <col min="14382" max="14382" width="8.33203125" style="325" customWidth="1"/>
    <col min="14383" max="14383" width="9.5546875" style="325" customWidth="1"/>
    <col min="14384" max="14384" width="7" style="325" customWidth="1"/>
    <col min="14385" max="14385" width="5.44140625" style="325" customWidth="1"/>
    <col min="14386" max="14592" width="11.44140625" style="325"/>
    <col min="14593" max="14593" width="4.44140625" style="325" customWidth="1"/>
    <col min="14594" max="14594" width="24.109375" style="325" customWidth="1"/>
    <col min="14595" max="14595" width="9.44140625" style="325" customWidth="1"/>
    <col min="14596" max="14596" width="8.88671875" style="325" customWidth="1"/>
    <col min="14597" max="14597" width="9.88671875" style="325" customWidth="1"/>
    <col min="14598" max="14598" width="9.109375" style="325" customWidth="1"/>
    <col min="14599" max="14599" width="8" style="325" customWidth="1"/>
    <col min="14600" max="14600" width="11" style="325" customWidth="1"/>
    <col min="14601" max="14602" width="7.5546875" style="325" customWidth="1"/>
    <col min="14603" max="14603" width="7.44140625" style="325" customWidth="1"/>
    <col min="14604" max="14604" width="7.88671875" style="325" customWidth="1"/>
    <col min="14605" max="14605" width="9.109375" style="325" customWidth="1"/>
    <col min="14606" max="14606" width="8" style="325" customWidth="1"/>
    <col min="14607" max="14607" width="7.5546875" style="325" customWidth="1"/>
    <col min="14608" max="14609" width="6.44140625" style="325" customWidth="1"/>
    <col min="14610" max="14610" width="7.6640625" style="325" customWidth="1"/>
    <col min="14611" max="14611" width="6.44140625" style="325" customWidth="1"/>
    <col min="14612" max="14612" width="7.5546875" style="325" customWidth="1"/>
    <col min="14613" max="14618" width="6.44140625" style="325" customWidth="1"/>
    <col min="14619" max="14619" width="5.44140625" style="325" customWidth="1"/>
    <col min="14620" max="14620" width="9" style="325" customWidth="1"/>
    <col min="14621" max="14621" width="9.5546875" style="325" customWidth="1"/>
    <col min="14622" max="14622" width="8.5546875" style="325" customWidth="1"/>
    <col min="14623" max="14623" width="7.44140625" style="325" customWidth="1"/>
    <col min="14624" max="14624" width="7.109375" style="325" customWidth="1"/>
    <col min="14625" max="14625" width="8.109375" style="325" customWidth="1"/>
    <col min="14626" max="14629" width="6.44140625" style="325" customWidth="1"/>
    <col min="14630" max="14630" width="9.33203125" style="325" customWidth="1"/>
    <col min="14631" max="14631" width="7.44140625" style="325" customWidth="1"/>
    <col min="14632" max="14632" width="8.6640625" style="325" customWidth="1"/>
    <col min="14633" max="14633" width="8.33203125" style="325" customWidth="1"/>
    <col min="14634" max="14634" width="7.109375" style="325" customWidth="1"/>
    <col min="14635" max="14635" width="9.109375" style="325" customWidth="1"/>
    <col min="14636" max="14636" width="7.5546875" style="325" customWidth="1"/>
    <col min="14637" max="14637" width="6.33203125" style="325" customWidth="1"/>
    <col min="14638" max="14638" width="8.33203125" style="325" customWidth="1"/>
    <col min="14639" max="14639" width="9.5546875" style="325" customWidth="1"/>
    <col min="14640" max="14640" width="7" style="325" customWidth="1"/>
    <col min="14641" max="14641" width="5.44140625" style="325" customWidth="1"/>
    <col min="14642" max="14848" width="11.44140625" style="325"/>
    <col min="14849" max="14849" width="4.44140625" style="325" customWidth="1"/>
    <col min="14850" max="14850" width="24.109375" style="325" customWidth="1"/>
    <col min="14851" max="14851" width="9.44140625" style="325" customWidth="1"/>
    <col min="14852" max="14852" width="8.88671875" style="325" customWidth="1"/>
    <col min="14853" max="14853" width="9.88671875" style="325" customWidth="1"/>
    <col min="14854" max="14854" width="9.109375" style="325" customWidth="1"/>
    <col min="14855" max="14855" width="8" style="325" customWidth="1"/>
    <col min="14856" max="14856" width="11" style="325" customWidth="1"/>
    <col min="14857" max="14858" width="7.5546875" style="325" customWidth="1"/>
    <col min="14859" max="14859" width="7.44140625" style="325" customWidth="1"/>
    <col min="14860" max="14860" width="7.88671875" style="325" customWidth="1"/>
    <col min="14861" max="14861" width="9.109375" style="325" customWidth="1"/>
    <col min="14862" max="14862" width="8" style="325" customWidth="1"/>
    <col min="14863" max="14863" width="7.5546875" style="325" customWidth="1"/>
    <col min="14864" max="14865" width="6.44140625" style="325" customWidth="1"/>
    <col min="14866" max="14866" width="7.6640625" style="325" customWidth="1"/>
    <col min="14867" max="14867" width="6.44140625" style="325" customWidth="1"/>
    <col min="14868" max="14868" width="7.5546875" style="325" customWidth="1"/>
    <col min="14869" max="14874" width="6.44140625" style="325" customWidth="1"/>
    <col min="14875" max="14875" width="5.44140625" style="325" customWidth="1"/>
    <col min="14876" max="14876" width="9" style="325" customWidth="1"/>
    <col min="14877" max="14877" width="9.5546875" style="325" customWidth="1"/>
    <col min="14878" max="14878" width="8.5546875" style="325" customWidth="1"/>
    <col min="14879" max="14879" width="7.44140625" style="325" customWidth="1"/>
    <col min="14880" max="14880" width="7.109375" style="325" customWidth="1"/>
    <col min="14881" max="14881" width="8.109375" style="325" customWidth="1"/>
    <col min="14882" max="14885" width="6.44140625" style="325" customWidth="1"/>
    <col min="14886" max="14886" width="9.33203125" style="325" customWidth="1"/>
    <col min="14887" max="14887" width="7.44140625" style="325" customWidth="1"/>
    <col min="14888" max="14888" width="8.6640625" style="325" customWidth="1"/>
    <col min="14889" max="14889" width="8.33203125" style="325" customWidth="1"/>
    <col min="14890" max="14890" width="7.109375" style="325" customWidth="1"/>
    <col min="14891" max="14891" width="9.109375" style="325" customWidth="1"/>
    <col min="14892" max="14892" width="7.5546875" style="325" customWidth="1"/>
    <col min="14893" max="14893" width="6.33203125" style="325" customWidth="1"/>
    <col min="14894" max="14894" width="8.33203125" style="325" customWidth="1"/>
    <col min="14895" max="14895" width="9.5546875" style="325" customWidth="1"/>
    <col min="14896" max="14896" width="7" style="325" customWidth="1"/>
    <col min="14897" max="14897" width="5.44140625" style="325" customWidth="1"/>
    <col min="14898" max="15104" width="11.44140625" style="325"/>
    <col min="15105" max="15105" width="4.44140625" style="325" customWidth="1"/>
    <col min="15106" max="15106" width="24.109375" style="325" customWidth="1"/>
    <col min="15107" max="15107" width="9.44140625" style="325" customWidth="1"/>
    <col min="15108" max="15108" width="8.88671875" style="325" customWidth="1"/>
    <col min="15109" max="15109" width="9.88671875" style="325" customWidth="1"/>
    <col min="15110" max="15110" width="9.109375" style="325" customWidth="1"/>
    <col min="15111" max="15111" width="8" style="325" customWidth="1"/>
    <col min="15112" max="15112" width="11" style="325" customWidth="1"/>
    <col min="15113" max="15114" width="7.5546875" style="325" customWidth="1"/>
    <col min="15115" max="15115" width="7.44140625" style="325" customWidth="1"/>
    <col min="15116" max="15116" width="7.88671875" style="325" customWidth="1"/>
    <col min="15117" max="15117" width="9.109375" style="325" customWidth="1"/>
    <col min="15118" max="15118" width="8" style="325" customWidth="1"/>
    <col min="15119" max="15119" width="7.5546875" style="325" customWidth="1"/>
    <col min="15120" max="15121" width="6.44140625" style="325" customWidth="1"/>
    <col min="15122" max="15122" width="7.6640625" style="325" customWidth="1"/>
    <col min="15123" max="15123" width="6.44140625" style="325" customWidth="1"/>
    <col min="15124" max="15124" width="7.5546875" style="325" customWidth="1"/>
    <col min="15125" max="15130" width="6.44140625" style="325" customWidth="1"/>
    <col min="15131" max="15131" width="5.44140625" style="325" customWidth="1"/>
    <col min="15132" max="15132" width="9" style="325" customWidth="1"/>
    <col min="15133" max="15133" width="9.5546875" style="325" customWidth="1"/>
    <col min="15134" max="15134" width="8.5546875" style="325" customWidth="1"/>
    <col min="15135" max="15135" width="7.44140625" style="325" customWidth="1"/>
    <col min="15136" max="15136" width="7.109375" style="325" customWidth="1"/>
    <col min="15137" max="15137" width="8.109375" style="325" customWidth="1"/>
    <col min="15138" max="15141" width="6.44140625" style="325" customWidth="1"/>
    <col min="15142" max="15142" width="9.33203125" style="325" customWidth="1"/>
    <col min="15143" max="15143" width="7.44140625" style="325" customWidth="1"/>
    <col min="15144" max="15144" width="8.6640625" style="325" customWidth="1"/>
    <col min="15145" max="15145" width="8.33203125" style="325" customWidth="1"/>
    <col min="15146" max="15146" width="7.109375" style="325" customWidth="1"/>
    <col min="15147" max="15147" width="9.109375" style="325" customWidth="1"/>
    <col min="15148" max="15148" width="7.5546875" style="325" customWidth="1"/>
    <col min="15149" max="15149" width="6.33203125" style="325" customWidth="1"/>
    <col min="15150" max="15150" width="8.33203125" style="325" customWidth="1"/>
    <col min="15151" max="15151" width="9.5546875" style="325" customWidth="1"/>
    <col min="15152" max="15152" width="7" style="325" customWidth="1"/>
    <col min="15153" max="15153" width="5.44140625" style="325" customWidth="1"/>
    <col min="15154" max="15360" width="11.44140625" style="325"/>
    <col min="15361" max="15361" width="4.44140625" style="325" customWidth="1"/>
    <col min="15362" max="15362" width="24.109375" style="325" customWidth="1"/>
    <col min="15363" max="15363" width="9.44140625" style="325" customWidth="1"/>
    <col min="15364" max="15364" width="8.88671875" style="325" customWidth="1"/>
    <col min="15365" max="15365" width="9.88671875" style="325" customWidth="1"/>
    <col min="15366" max="15366" width="9.109375" style="325" customWidth="1"/>
    <col min="15367" max="15367" width="8" style="325" customWidth="1"/>
    <col min="15368" max="15368" width="11" style="325" customWidth="1"/>
    <col min="15369" max="15370" width="7.5546875" style="325" customWidth="1"/>
    <col min="15371" max="15371" width="7.44140625" style="325" customWidth="1"/>
    <col min="15372" max="15372" width="7.88671875" style="325" customWidth="1"/>
    <col min="15373" max="15373" width="9.109375" style="325" customWidth="1"/>
    <col min="15374" max="15374" width="8" style="325" customWidth="1"/>
    <col min="15375" max="15375" width="7.5546875" style="325" customWidth="1"/>
    <col min="15376" max="15377" width="6.44140625" style="325" customWidth="1"/>
    <col min="15378" max="15378" width="7.6640625" style="325" customWidth="1"/>
    <col min="15379" max="15379" width="6.44140625" style="325" customWidth="1"/>
    <col min="15380" max="15380" width="7.5546875" style="325" customWidth="1"/>
    <col min="15381" max="15386" width="6.44140625" style="325" customWidth="1"/>
    <col min="15387" max="15387" width="5.44140625" style="325" customWidth="1"/>
    <col min="15388" max="15388" width="9" style="325" customWidth="1"/>
    <col min="15389" max="15389" width="9.5546875" style="325" customWidth="1"/>
    <col min="15390" max="15390" width="8.5546875" style="325" customWidth="1"/>
    <col min="15391" max="15391" width="7.44140625" style="325" customWidth="1"/>
    <col min="15392" max="15392" width="7.109375" style="325" customWidth="1"/>
    <col min="15393" max="15393" width="8.109375" style="325" customWidth="1"/>
    <col min="15394" max="15397" width="6.44140625" style="325" customWidth="1"/>
    <col min="15398" max="15398" width="9.33203125" style="325" customWidth="1"/>
    <col min="15399" max="15399" width="7.44140625" style="325" customWidth="1"/>
    <col min="15400" max="15400" width="8.6640625" style="325" customWidth="1"/>
    <col min="15401" max="15401" width="8.33203125" style="325" customWidth="1"/>
    <col min="15402" max="15402" width="7.109375" style="325" customWidth="1"/>
    <col min="15403" max="15403" width="9.109375" style="325" customWidth="1"/>
    <col min="15404" max="15404" width="7.5546875" style="325" customWidth="1"/>
    <col min="15405" max="15405" width="6.33203125" style="325" customWidth="1"/>
    <col min="15406" max="15406" width="8.33203125" style="325" customWidth="1"/>
    <col min="15407" max="15407" width="9.5546875" style="325" customWidth="1"/>
    <col min="15408" max="15408" width="7" style="325" customWidth="1"/>
    <col min="15409" max="15409" width="5.44140625" style="325" customWidth="1"/>
    <col min="15410" max="15616" width="11.44140625" style="325"/>
    <col min="15617" max="15617" width="4.44140625" style="325" customWidth="1"/>
    <col min="15618" max="15618" width="24.109375" style="325" customWidth="1"/>
    <col min="15619" max="15619" width="9.44140625" style="325" customWidth="1"/>
    <col min="15620" max="15620" width="8.88671875" style="325" customWidth="1"/>
    <col min="15621" max="15621" width="9.88671875" style="325" customWidth="1"/>
    <col min="15622" max="15622" width="9.109375" style="325" customWidth="1"/>
    <col min="15623" max="15623" width="8" style="325" customWidth="1"/>
    <col min="15624" max="15624" width="11" style="325" customWidth="1"/>
    <col min="15625" max="15626" width="7.5546875" style="325" customWidth="1"/>
    <col min="15627" max="15627" width="7.44140625" style="325" customWidth="1"/>
    <col min="15628" max="15628" width="7.88671875" style="325" customWidth="1"/>
    <col min="15629" max="15629" width="9.109375" style="325" customWidth="1"/>
    <col min="15630" max="15630" width="8" style="325" customWidth="1"/>
    <col min="15631" max="15631" width="7.5546875" style="325" customWidth="1"/>
    <col min="15632" max="15633" width="6.44140625" style="325" customWidth="1"/>
    <col min="15634" max="15634" width="7.6640625" style="325" customWidth="1"/>
    <col min="15635" max="15635" width="6.44140625" style="325" customWidth="1"/>
    <col min="15636" max="15636" width="7.5546875" style="325" customWidth="1"/>
    <col min="15637" max="15642" width="6.44140625" style="325" customWidth="1"/>
    <col min="15643" max="15643" width="5.44140625" style="325" customWidth="1"/>
    <col min="15644" max="15644" width="9" style="325" customWidth="1"/>
    <col min="15645" max="15645" width="9.5546875" style="325" customWidth="1"/>
    <col min="15646" max="15646" width="8.5546875" style="325" customWidth="1"/>
    <col min="15647" max="15647" width="7.44140625" style="325" customWidth="1"/>
    <col min="15648" max="15648" width="7.109375" style="325" customWidth="1"/>
    <col min="15649" max="15649" width="8.109375" style="325" customWidth="1"/>
    <col min="15650" max="15653" width="6.44140625" style="325" customWidth="1"/>
    <col min="15654" max="15654" width="9.33203125" style="325" customWidth="1"/>
    <col min="15655" max="15655" width="7.44140625" style="325" customWidth="1"/>
    <col min="15656" max="15656" width="8.6640625" style="325" customWidth="1"/>
    <col min="15657" max="15657" width="8.33203125" style="325" customWidth="1"/>
    <col min="15658" max="15658" width="7.109375" style="325" customWidth="1"/>
    <col min="15659" max="15659" width="9.109375" style="325" customWidth="1"/>
    <col min="15660" max="15660" width="7.5546875" style="325" customWidth="1"/>
    <col min="15661" max="15661" width="6.33203125" style="325" customWidth="1"/>
    <col min="15662" max="15662" width="8.33203125" style="325" customWidth="1"/>
    <col min="15663" max="15663" width="9.5546875" style="325" customWidth="1"/>
    <col min="15664" max="15664" width="7" style="325" customWidth="1"/>
    <col min="15665" max="15665" width="5.44140625" style="325" customWidth="1"/>
    <col min="15666" max="15872" width="11.44140625" style="325"/>
    <col min="15873" max="15873" width="4.44140625" style="325" customWidth="1"/>
    <col min="15874" max="15874" width="24.109375" style="325" customWidth="1"/>
    <col min="15875" max="15875" width="9.44140625" style="325" customWidth="1"/>
    <col min="15876" max="15876" width="8.88671875" style="325" customWidth="1"/>
    <col min="15877" max="15877" width="9.88671875" style="325" customWidth="1"/>
    <col min="15878" max="15878" width="9.109375" style="325" customWidth="1"/>
    <col min="15879" max="15879" width="8" style="325" customWidth="1"/>
    <col min="15880" max="15880" width="11" style="325" customWidth="1"/>
    <col min="15881" max="15882" width="7.5546875" style="325" customWidth="1"/>
    <col min="15883" max="15883" width="7.44140625" style="325" customWidth="1"/>
    <col min="15884" max="15884" width="7.88671875" style="325" customWidth="1"/>
    <col min="15885" max="15885" width="9.109375" style="325" customWidth="1"/>
    <col min="15886" max="15886" width="8" style="325" customWidth="1"/>
    <col min="15887" max="15887" width="7.5546875" style="325" customWidth="1"/>
    <col min="15888" max="15889" width="6.44140625" style="325" customWidth="1"/>
    <col min="15890" max="15890" width="7.6640625" style="325" customWidth="1"/>
    <col min="15891" max="15891" width="6.44140625" style="325" customWidth="1"/>
    <col min="15892" max="15892" width="7.5546875" style="325" customWidth="1"/>
    <col min="15893" max="15898" width="6.44140625" style="325" customWidth="1"/>
    <col min="15899" max="15899" width="5.44140625" style="325" customWidth="1"/>
    <col min="15900" max="15900" width="9" style="325" customWidth="1"/>
    <col min="15901" max="15901" width="9.5546875" style="325" customWidth="1"/>
    <col min="15902" max="15902" width="8.5546875" style="325" customWidth="1"/>
    <col min="15903" max="15903" width="7.44140625" style="325" customWidth="1"/>
    <col min="15904" max="15904" width="7.109375" style="325" customWidth="1"/>
    <col min="15905" max="15905" width="8.109375" style="325" customWidth="1"/>
    <col min="15906" max="15909" width="6.44140625" style="325" customWidth="1"/>
    <col min="15910" max="15910" width="9.33203125" style="325" customWidth="1"/>
    <col min="15911" max="15911" width="7.44140625" style="325" customWidth="1"/>
    <col min="15912" max="15912" width="8.6640625" style="325" customWidth="1"/>
    <col min="15913" max="15913" width="8.33203125" style="325" customWidth="1"/>
    <col min="15914" max="15914" width="7.109375" style="325" customWidth="1"/>
    <col min="15915" max="15915" width="9.109375" style="325" customWidth="1"/>
    <col min="15916" max="15916" width="7.5546875" style="325" customWidth="1"/>
    <col min="15917" max="15917" width="6.33203125" style="325" customWidth="1"/>
    <col min="15918" max="15918" width="8.33203125" style="325" customWidth="1"/>
    <col min="15919" max="15919" width="9.5546875" style="325" customWidth="1"/>
    <col min="15920" max="15920" width="7" style="325" customWidth="1"/>
    <col min="15921" max="15921" width="5.44140625" style="325" customWidth="1"/>
    <col min="15922" max="16128" width="11.44140625" style="325"/>
    <col min="16129" max="16129" width="4.44140625" style="325" customWidth="1"/>
    <col min="16130" max="16130" width="24.109375" style="325" customWidth="1"/>
    <col min="16131" max="16131" width="9.44140625" style="325" customWidth="1"/>
    <col min="16132" max="16132" width="8.88671875" style="325" customWidth="1"/>
    <col min="16133" max="16133" width="9.88671875" style="325" customWidth="1"/>
    <col min="16134" max="16134" width="9.109375" style="325" customWidth="1"/>
    <col min="16135" max="16135" width="8" style="325" customWidth="1"/>
    <col min="16136" max="16136" width="11" style="325" customWidth="1"/>
    <col min="16137" max="16138" width="7.5546875" style="325" customWidth="1"/>
    <col min="16139" max="16139" width="7.44140625" style="325" customWidth="1"/>
    <col min="16140" max="16140" width="7.88671875" style="325" customWidth="1"/>
    <col min="16141" max="16141" width="9.109375" style="325" customWidth="1"/>
    <col min="16142" max="16142" width="8" style="325" customWidth="1"/>
    <col min="16143" max="16143" width="7.5546875" style="325" customWidth="1"/>
    <col min="16144" max="16145" width="6.44140625" style="325" customWidth="1"/>
    <col min="16146" max="16146" width="7.6640625" style="325" customWidth="1"/>
    <col min="16147" max="16147" width="6.44140625" style="325" customWidth="1"/>
    <col min="16148" max="16148" width="7.5546875" style="325" customWidth="1"/>
    <col min="16149" max="16154" width="6.44140625" style="325" customWidth="1"/>
    <col min="16155" max="16155" width="5.44140625" style="325" customWidth="1"/>
    <col min="16156" max="16156" width="9" style="325" customWidth="1"/>
    <col min="16157" max="16157" width="9.5546875" style="325" customWidth="1"/>
    <col min="16158" max="16158" width="8.5546875" style="325" customWidth="1"/>
    <col min="16159" max="16159" width="7.44140625" style="325" customWidth="1"/>
    <col min="16160" max="16160" width="7.109375" style="325" customWidth="1"/>
    <col min="16161" max="16161" width="8.109375" style="325" customWidth="1"/>
    <col min="16162" max="16165" width="6.44140625" style="325" customWidth="1"/>
    <col min="16166" max="16166" width="9.33203125" style="325" customWidth="1"/>
    <col min="16167" max="16167" width="7.44140625" style="325" customWidth="1"/>
    <col min="16168" max="16168" width="8.6640625" style="325" customWidth="1"/>
    <col min="16169" max="16169" width="8.33203125" style="325" customWidth="1"/>
    <col min="16170" max="16170" width="7.109375" style="325" customWidth="1"/>
    <col min="16171" max="16171" width="9.109375" style="325" customWidth="1"/>
    <col min="16172" max="16172" width="7.5546875" style="325" customWidth="1"/>
    <col min="16173" max="16173" width="6.33203125" style="325" customWidth="1"/>
    <col min="16174" max="16174" width="8.33203125" style="325" customWidth="1"/>
    <col min="16175" max="16175" width="9.5546875" style="325" customWidth="1"/>
    <col min="16176" max="16176" width="7" style="325" customWidth="1"/>
    <col min="16177" max="16177" width="5.44140625" style="325" customWidth="1"/>
    <col min="16178" max="16384" width="11.44140625" style="325"/>
  </cols>
  <sheetData>
    <row r="1" spans="1:49">
      <c r="A1" s="324"/>
    </row>
    <row r="2" spans="1:49" s="326" customFormat="1" ht="18">
      <c r="A2" s="942" t="s">
        <v>1856</v>
      </c>
      <c r="B2" s="942"/>
      <c r="C2" s="942"/>
      <c r="D2" s="942"/>
      <c r="E2" s="942"/>
      <c r="F2" s="942"/>
      <c r="G2" s="942"/>
      <c r="H2" s="942"/>
      <c r="I2" s="942"/>
      <c r="J2" s="942"/>
      <c r="K2" s="942"/>
      <c r="L2" s="942"/>
      <c r="M2" s="942"/>
      <c r="N2" s="942"/>
      <c r="O2" s="942"/>
      <c r="P2" s="942"/>
      <c r="Q2" s="942"/>
      <c r="R2" s="942"/>
      <c r="S2" s="942"/>
      <c r="T2" s="942"/>
      <c r="U2" s="942"/>
      <c r="V2" s="942"/>
      <c r="W2" s="942"/>
      <c r="X2" s="942"/>
      <c r="Y2" s="942"/>
      <c r="Z2" s="942"/>
      <c r="AA2" s="942"/>
      <c r="AB2" s="942"/>
      <c r="AC2" s="942"/>
      <c r="AD2" s="942"/>
      <c r="AE2" s="942"/>
      <c r="AF2" s="942"/>
      <c r="AG2" s="942"/>
      <c r="AH2" s="942"/>
      <c r="AI2" s="942"/>
      <c r="AJ2" s="942"/>
      <c r="AK2" s="942"/>
      <c r="AL2" s="942"/>
      <c r="AM2" s="942"/>
      <c r="AN2" s="942"/>
      <c r="AO2" s="942"/>
      <c r="AP2" s="942"/>
      <c r="AQ2" s="942"/>
      <c r="AR2" s="942"/>
      <c r="AS2" s="942"/>
      <c r="AT2" s="942"/>
      <c r="AU2" s="942"/>
      <c r="AV2" s="942"/>
      <c r="AW2" s="942"/>
    </row>
    <row r="3" spans="1:49" s="326" customFormat="1" ht="27.6" customHeight="1">
      <c r="A3" s="943" t="s">
        <v>1630</v>
      </c>
      <c r="B3" s="943"/>
      <c r="C3" s="943"/>
      <c r="D3" s="943"/>
      <c r="E3" s="943"/>
      <c r="F3" s="943"/>
      <c r="G3" s="943"/>
      <c r="H3" s="943"/>
      <c r="I3" s="943"/>
      <c r="J3" s="943"/>
      <c r="K3" s="943"/>
      <c r="L3" s="943"/>
      <c r="M3" s="943"/>
      <c r="N3" s="943"/>
      <c r="O3" s="943"/>
      <c r="P3" s="943"/>
      <c r="Q3" s="943"/>
      <c r="R3" s="943"/>
      <c r="S3" s="943"/>
      <c r="T3" s="943"/>
      <c r="U3" s="943"/>
      <c r="V3" s="943"/>
      <c r="W3" s="943"/>
      <c r="X3" s="943"/>
      <c r="Y3" s="943"/>
      <c r="Z3" s="943"/>
      <c r="AA3" s="943"/>
      <c r="AB3" s="943"/>
      <c r="AC3" s="943"/>
      <c r="AD3" s="943"/>
      <c r="AE3" s="943"/>
      <c r="AF3" s="943"/>
      <c r="AG3" s="943"/>
      <c r="AH3" s="943"/>
      <c r="AI3" s="943"/>
      <c r="AJ3" s="943"/>
      <c r="AK3" s="943"/>
      <c r="AL3" s="943"/>
      <c r="AM3" s="943"/>
      <c r="AN3" s="943"/>
      <c r="AO3" s="943"/>
      <c r="AP3" s="943"/>
      <c r="AQ3" s="943"/>
      <c r="AR3" s="943"/>
      <c r="AS3" s="943"/>
      <c r="AT3" s="943"/>
      <c r="AU3" s="943"/>
      <c r="AV3" s="943"/>
      <c r="AW3" s="943"/>
    </row>
    <row r="4" spans="1:49" s="327" customFormat="1" ht="22.2" customHeight="1">
      <c r="A4" s="944" t="str">
        <f>PL1.KH25!A3</f>
        <v>(Kèm theo Nghị quyết số 24/NQ-HĐND  ngày 22 tháng 8 năm 2025 của HĐND tỉnh Quảng Ngãi)</v>
      </c>
      <c r="B4" s="945"/>
      <c r="C4" s="945"/>
      <c r="D4" s="945"/>
      <c r="E4" s="945"/>
      <c r="F4" s="945"/>
      <c r="G4" s="945"/>
      <c r="H4" s="945"/>
      <c r="I4" s="945"/>
      <c r="J4" s="945"/>
      <c r="K4" s="945"/>
      <c r="L4" s="945"/>
      <c r="M4" s="945"/>
      <c r="N4" s="945"/>
      <c r="O4" s="945"/>
      <c r="P4" s="945"/>
      <c r="Q4" s="945"/>
      <c r="R4" s="945"/>
      <c r="S4" s="945"/>
      <c r="T4" s="945"/>
      <c r="U4" s="945"/>
      <c r="V4" s="945"/>
      <c r="W4" s="945"/>
      <c r="X4" s="945"/>
      <c r="Y4" s="945"/>
      <c r="Z4" s="945"/>
      <c r="AA4" s="945"/>
      <c r="AB4" s="945"/>
      <c r="AC4" s="945"/>
      <c r="AD4" s="945"/>
      <c r="AE4" s="945"/>
      <c r="AF4" s="945"/>
      <c r="AG4" s="945"/>
      <c r="AH4" s="945"/>
      <c r="AI4" s="945"/>
      <c r="AJ4" s="945"/>
      <c r="AK4" s="945"/>
      <c r="AL4" s="945"/>
      <c r="AM4" s="945"/>
      <c r="AN4" s="945"/>
      <c r="AO4" s="945"/>
      <c r="AP4" s="945"/>
      <c r="AQ4" s="945"/>
      <c r="AR4" s="945"/>
      <c r="AS4" s="945"/>
      <c r="AT4" s="945"/>
      <c r="AU4" s="945"/>
      <c r="AV4" s="945"/>
      <c r="AW4" s="945"/>
    </row>
    <row r="5" spans="1:49" s="329" customFormat="1" ht="19.2" customHeight="1">
      <c r="A5" s="328"/>
      <c r="B5" s="328"/>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c r="AP5" s="946" t="s">
        <v>1631</v>
      </c>
      <c r="AQ5" s="946"/>
      <c r="AR5" s="946"/>
      <c r="AS5" s="946"/>
      <c r="AT5" s="946"/>
      <c r="AU5" s="946"/>
      <c r="AV5" s="946"/>
      <c r="AW5" s="946"/>
    </row>
    <row r="6" spans="1:49" s="330" customFormat="1" ht="31.65" customHeight="1">
      <c r="A6" s="937" t="s">
        <v>403</v>
      </c>
      <c r="B6" s="937" t="s">
        <v>1632</v>
      </c>
      <c r="C6" s="947" t="s">
        <v>1633</v>
      </c>
      <c r="D6" s="948"/>
      <c r="E6" s="948"/>
      <c r="F6" s="948"/>
      <c r="G6" s="949"/>
      <c r="H6" s="947" t="s">
        <v>1634</v>
      </c>
      <c r="I6" s="948"/>
      <c r="J6" s="948"/>
      <c r="K6" s="948"/>
      <c r="L6" s="948"/>
      <c r="M6" s="948"/>
      <c r="N6" s="948"/>
      <c r="O6" s="948"/>
      <c r="P6" s="948"/>
      <c r="Q6" s="948"/>
      <c r="R6" s="948"/>
      <c r="S6" s="948"/>
      <c r="T6" s="948"/>
      <c r="U6" s="948"/>
      <c r="V6" s="948"/>
      <c r="W6" s="948"/>
      <c r="X6" s="948"/>
      <c r="Y6" s="948"/>
      <c r="Z6" s="948"/>
      <c r="AA6" s="948"/>
      <c r="AB6" s="948"/>
      <c r="AC6" s="948"/>
      <c r="AD6" s="948"/>
      <c r="AE6" s="948"/>
      <c r="AF6" s="948"/>
      <c r="AG6" s="948"/>
      <c r="AH6" s="948"/>
      <c r="AI6" s="948"/>
      <c r="AJ6" s="948"/>
      <c r="AK6" s="948"/>
      <c r="AL6" s="948"/>
      <c r="AM6" s="948"/>
      <c r="AN6" s="948"/>
      <c r="AO6" s="948"/>
      <c r="AP6" s="948"/>
      <c r="AQ6" s="947" t="s">
        <v>1635</v>
      </c>
      <c r="AR6" s="948"/>
      <c r="AS6" s="948"/>
      <c r="AT6" s="948"/>
      <c r="AU6" s="948"/>
      <c r="AV6" s="949"/>
      <c r="AW6" s="937" t="s">
        <v>16</v>
      </c>
    </row>
    <row r="7" spans="1:49" s="330" customFormat="1" ht="27.9" customHeight="1">
      <c r="A7" s="937"/>
      <c r="B7" s="937"/>
      <c r="C7" s="950"/>
      <c r="D7" s="951"/>
      <c r="E7" s="951"/>
      <c r="F7" s="951"/>
      <c r="G7" s="952"/>
      <c r="H7" s="947" t="s">
        <v>1636</v>
      </c>
      <c r="I7" s="948"/>
      <c r="J7" s="948"/>
      <c r="K7" s="948"/>
      <c r="L7" s="948"/>
      <c r="M7" s="948"/>
      <c r="N7" s="948"/>
      <c r="O7" s="948"/>
      <c r="P7" s="948"/>
      <c r="Q7" s="948"/>
      <c r="R7" s="948"/>
      <c r="S7" s="948"/>
      <c r="T7" s="948"/>
      <c r="U7" s="948"/>
      <c r="V7" s="948"/>
      <c r="W7" s="948"/>
      <c r="X7" s="948"/>
      <c r="Y7" s="948"/>
      <c r="Z7" s="948"/>
      <c r="AA7" s="948"/>
      <c r="AB7" s="937" t="s">
        <v>1637</v>
      </c>
      <c r="AC7" s="937"/>
      <c r="AD7" s="937"/>
      <c r="AE7" s="937"/>
      <c r="AF7" s="937"/>
      <c r="AG7" s="937"/>
      <c r="AH7" s="937"/>
      <c r="AI7" s="937"/>
      <c r="AJ7" s="937"/>
      <c r="AK7" s="937"/>
      <c r="AL7" s="937"/>
      <c r="AM7" s="937"/>
      <c r="AN7" s="937"/>
      <c r="AO7" s="937"/>
      <c r="AP7" s="938"/>
      <c r="AQ7" s="953"/>
      <c r="AR7" s="954"/>
      <c r="AS7" s="954"/>
      <c r="AT7" s="954"/>
      <c r="AU7" s="954"/>
      <c r="AV7" s="955"/>
      <c r="AW7" s="937"/>
    </row>
    <row r="8" spans="1:49" s="330" customFormat="1" ht="36" customHeight="1">
      <c r="A8" s="937"/>
      <c r="B8" s="937"/>
      <c r="C8" s="950"/>
      <c r="D8" s="951"/>
      <c r="E8" s="951"/>
      <c r="F8" s="951"/>
      <c r="G8" s="952"/>
      <c r="H8" s="937" t="s">
        <v>1638</v>
      </c>
      <c r="I8" s="937"/>
      <c r="J8" s="937"/>
      <c r="K8" s="937"/>
      <c r="L8" s="937"/>
      <c r="M8" s="938" t="s">
        <v>1639</v>
      </c>
      <c r="N8" s="940"/>
      <c r="O8" s="940"/>
      <c r="P8" s="940"/>
      <c r="Q8" s="939"/>
      <c r="R8" s="938" t="s">
        <v>1640</v>
      </c>
      <c r="S8" s="940"/>
      <c r="T8" s="940"/>
      <c r="U8" s="940"/>
      <c r="V8" s="939"/>
      <c r="W8" s="938" t="s">
        <v>1641</v>
      </c>
      <c r="X8" s="940"/>
      <c r="Y8" s="940"/>
      <c r="Z8" s="940"/>
      <c r="AA8" s="939"/>
      <c r="AB8" s="938" t="s">
        <v>1642</v>
      </c>
      <c r="AC8" s="940"/>
      <c r="AD8" s="940"/>
      <c r="AE8" s="940"/>
      <c r="AF8" s="939"/>
      <c r="AG8" s="938" t="s">
        <v>1643</v>
      </c>
      <c r="AH8" s="940"/>
      <c r="AI8" s="940"/>
      <c r="AJ8" s="940"/>
      <c r="AK8" s="939"/>
      <c r="AL8" s="938" t="s">
        <v>1644</v>
      </c>
      <c r="AM8" s="940"/>
      <c r="AN8" s="940"/>
      <c r="AO8" s="940"/>
      <c r="AP8" s="939"/>
      <c r="AQ8" s="940" t="s">
        <v>1645</v>
      </c>
      <c r="AR8" s="940"/>
      <c r="AS8" s="940"/>
      <c r="AT8" s="940"/>
      <c r="AU8" s="940"/>
      <c r="AV8" s="939"/>
      <c r="AW8" s="937"/>
    </row>
    <row r="9" spans="1:49" s="331" customFormat="1" ht="22.65" customHeight="1">
      <c r="A9" s="937"/>
      <c r="B9" s="937"/>
      <c r="C9" s="937" t="s">
        <v>413</v>
      </c>
      <c r="D9" s="938" t="s">
        <v>23</v>
      </c>
      <c r="E9" s="940"/>
      <c r="F9" s="940"/>
      <c r="G9" s="939"/>
      <c r="H9" s="937" t="s">
        <v>413</v>
      </c>
      <c r="I9" s="937" t="s">
        <v>23</v>
      </c>
      <c r="J9" s="937"/>
      <c r="K9" s="937"/>
      <c r="L9" s="937"/>
      <c r="M9" s="937" t="s">
        <v>413</v>
      </c>
      <c r="N9" s="937" t="s">
        <v>23</v>
      </c>
      <c r="O9" s="937"/>
      <c r="P9" s="937"/>
      <c r="Q9" s="937"/>
      <c r="R9" s="937" t="s">
        <v>413</v>
      </c>
      <c r="S9" s="937" t="s">
        <v>23</v>
      </c>
      <c r="T9" s="937"/>
      <c r="U9" s="937"/>
      <c r="V9" s="937"/>
      <c r="W9" s="937" t="s">
        <v>413</v>
      </c>
      <c r="X9" s="937" t="s">
        <v>23</v>
      </c>
      <c r="Y9" s="937"/>
      <c r="Z9" s="937"/>
      <c r="AA9" s="937"/>
      <c r="AB9" s="937" t="s">
        <v>413</v>
      </c>
      <c r="AC9" s="937" t="s">
        <v>23</v>
      </c>
      <c r="AD9" s="937"/>
      <c r="AE9" s="937"/>
      <c r="AF9" s="937"/>
      <c r="AG9" s="937" t="s">
        <v>413</v>
      </c>
      <c r="AH9" s="937" t="s">
        <v>23</v>
      </c>
      <c r="AI9" s="937"/>
      <c r="AJ9" s="937"/>
      <c r="AK9" s="937"/>
      <c r="AL9" s="937" t="s">
        <v>413</v>
      </c>
      <c r="AM9" s="937" t="s">
        <v>23</v>
      </c>
      <c r="AN9" s="937"/>
      <c r="AO9" s="937"/>
      <c r="AP9" s="937"/>
      <c r="AQ9" s="935" t="s">
        <v>413</v>
      </c>
      <c r="AR9" s="937" t="s">
        <v>23</v>
      </c>
      <c r="AS9" s="937"/>
      <c r="AT9" s="937"/>
      <c r="AU9" s="937"/>
      <c r="AV9" s="937"/>
      <c r="AW9" s="937"/>
    </row>
    <row r="10" spans="1:49" s="331" customFormat="1" ht="30" customHeight="1">
      <c r="A10" s="937"/>
      <c r="B10" s="937"/>
      <c r="C10" s="937"/>
      <c r="D10" s="937" t="s">
        <v>1646</v>
      </c>
      <c r="E10" s="937"/>
      <c r="F10" s="938" t="s">
        <v>1647</v>
      </c>
      <c r="G10" s="939"/>
      <c r="H10" s="937"/>
      <c r="I10" s="937" t="s">
        <v>1648</v>
      </c>
      <c r="J10" s="937"/>
      <c r="K10" s="937"/>
      <c r="L10" s="937"/>
      <c r="M10" s="937"/>
      <c r="N10" s="937" t="s">
        <v>1648</v>
      </c>
      <c r="O10" s="937"/>
      <c r="P10" s="937"/>
      <c r="Q10" s="937"/>
      <c r="R10" s="937"/>
      <c r="S10" s="937" t="s">
        <v>1648</v>
      </c>
      <c r="T10" s="937"/>
      <c r="U10" s="937"/>
      <c r="V10" s="937"/>
      <c r="W10" s="937"/>
      <c r="X10" s="937" t="s">
        <v>1648</v>
      </c>
      <c r="Y10" s="937"/>
      <c r="Z10" s="937"/>
      <c r="AA10" s="937"/>
      <c r="AB10" s="937"/>
      <c r="AC10" s="937" t="s">
        <v>1648</v>
      </c>
      <c r="AD10" s="937"/>
      <c r="AE10" s="937"/>
      <c r="AF10" s="937"/>
      <c r="AG10" s="937"/>
      <c r="AH10" s="937" t="s">
        <v>1648</v>
      </c>
      <c r="AI10" s="937"/>
      <c r="AJ10" s="937"/>
      <c r="AK10" s="937"/>
      <c r="AL10" s="937"/>
      <c r="AM10" s="937" t="s">
        <v>1648</v>
      </c>
      <c r="AN10" s="937"/>
      <c r="AO10" s="937"/>
      <c r="AP10" s="937"/>
      <c r="AQ10" s="941"/>
      <c r="AR10" s="937" t="s">
        <v>1648</v>
      </c>
      <c r="AS10" s="937"/>
      <c r="AT10" s="937"/>
      <c r="AU10" s="937"/>
      <c r="AV10" s="937"/>
      <c r="AW10" s="937"/>
    </row>
    <row r="11" spans="1:49" s="331" customFormat="1" ht="25.5" customHeight="1">
      <c r="A11" s="937"/>
      <c r="B11" s="937"/>
      <c r="C11" s="937"/>
      <c r="D11" s="935" t="s">
        <v>21</v>
      </c>
      <c r="E11" s="935" t="s">
        <v>22</v>
      </c>
      <c r="F11" s="935" t="s">
        <v>21</v>
      </c>
      <c r="G11" s="935" t="s">
        <v>22</v>
      </c>
      <c r="H11" s="937"/>
      <c r="I11" s="937" t="s">
        <v>21</v>
      </c>
      <c r="J11" s="937"/>
      <c r="K11" s="937" t="s">
        <v>22</v>
      </c>
      <c r="L11" s="937"/>
      <c r="M11" s="937"/>
      <c r="N11" s="937" t="s">
        <v>21</v>
      </c>
      <c r="O11" s="937"/>
      <c r="P11" s="938" t="s">
        <v>22</v>
      </c>
      <c r="Q11" s="939"/>
      <c r="R11" s="937"/>
      <c r="S11" s="937" t="s">
        <v>21</v>
      </c>
      <c r="T11" s="937"/>
      <c r="U11" s="938" t="s">
        <v>22</v>
      </c>
      <c r="V11" s="939"/>
      <c r="W11" s="937"/>
      <c r="X11" s="937" t="s">
        <v>21</v>
      </c>
      <c r="Y11" s="937"/>
      <c r="Z11" s="938" t="s">
        <v>22</v>
      </c>
      <c r="AA11" s="939"/>
      <c r="AB11" s="937"/>
      <c r="AC11" s="937" t="s">
        <v>21</v>
      </c>
      <c r="AD11" s="937"/>
      <c r="AE11" s="938" t="s">
        <v>22</v>
      </c>
      <c r="AF11" s="939"/>
      <c r="AG11" s="937"/>
      <c r="AH11" s="937" t="s">
        <v>21</v>
      </c>
      <c r="AI11" s="937"/>
      <c r="AJ11" s="938" t="s">
        <v>22</v>
      </c>
      <c r="AK11" s="939"/>
      <c r="AL11" s="937"/>
      <c r="AM11" s="937" t="s">
        <v>21</v>
      </c>
      <c r="AN11" s="937"/>
      <c r="AO11" s="938" t="s">
        <v>22</v>
      </c>
      <c r="AP11" s="939"/>
      <c r="AQ11" s="941"/>
      <c r="AR11" s="938" t="s">
        <v>21</v>
      </c>
      <c r="AS11" s="940"/>
      <c r="AT11" s="939"/>
      <c r="AU11" s="938" t="s">
        <v>22</v>
      </c>
      <c r="AV11" s="939"/>
      <c r="AW11" s="937"/>
    </row>
    <row r="12" spans="1:49" s="331" customFormat="1" ht="36" customHeight="1">
      <c r="A12" s="937"/>
      <c r="B12" s="937"/>
      <c r="C12" s="937"/>
      <c r="D12" s="941"/>
      <c r="E12" s="941"/>
      <c r="F12" s="941"/>
      <c r="G12" s="941"/>
      <c r="H12" s="937"/>
      <c r="I12" s="935" t="s">
        <v>1649</v>
      </c>
      <c r="J12" s="935" t="s">
        <v>1650</v>
      </c>
      <c r="K12" s="937" t="s">
        <v>1649</v>
      </c>
      <c r="L12" s="937" t="s">
        <v>1650</v>
      </c>
      <c r="M12" s="937"/>
      <c r="N12" s="935" t="s">
        <v>1649</v>
      </c>
      <c r="O12" s="935" t="s">
        <v>1650</v>
      </c>
      <c r="P12" s="937" t="s">
        <v>1649</v>
      </c>
      <c r="Q12" s="937" t="s">
        <v>1650</v>
      </c>
      <c r="R12" s="937"/>
      <c r="S12" s="935" t="s">
        <v>1649</v>
      </c>
      <c r="T12" s="935" t="s">
        <v>1650</v>
      </c>
      <c r="U12" s="937" t="s">
        <v>1649</v>
      </c>
      <c r="V12" s="937" t="s">
        <v>1650</v>
      </c>
      <c r="W12" s="937"/>
      <c r="X12" s="935" t="s">
        <v>1649</v>
      </c>
      <c r="Y12" s="935" t="s">
        <v>1650</v>
      </c>
      <c r="Z12" s="937" t="s">
        <v>1649</v>
      </c>
      <c r="AA12" s="937" t="s">
        <v>1650</v>
      </c>
      <c r="AB12" s="937"/>
      <c r="AC12" s="935" t="s">
        <v>1649</v>
      </c>
      <c r="AD12" s="935" t="s">
        <v>1650</v>
      </c>
      <c r="AE12" s="937" t="s">
        <v>1649</v>
      </c>
      <c r="AF12" s="937" t="s">
        <v>1650</v>
      </c>
      <c r="AG12" s="937"/>
      <c r="AH12" s="935" t="s">
        <v>1649</v>
      </c>
      <c r="AI12" s="935" t="s">
        <v>1650</v>
      </c>
      <c r="AJ12" s="937" t="s">
        <v>1649</v>
      </c>
      <c r="AK12" s="937" t="s">
        <v>1650</v>
      </c>
      <c r="AL12" s="937"/>
      <c r="AM12" s="935" t="s">
        <v>1649</v>
      </c>
      <c r="AN12" s="935" t="s">
        <v>1650</v>
      </c>
      <c r="AO12" s="937" t="s">
        <v>1649</v>
      </c>
      <c r="AP12" s="937" t="s">
        <v>1650</v>
      </c>
      <c r="AQ12" s="941"/>
      <c r="AR12" s="938" t="s">
        <v>1649</v>
      </c>
      <c r="AS12" s="939"/>
      <c r="AT12" s="332" t="s">
        <v>1650</v>
      </c>
      <c r="AU12" s="935" t="s">
        <v>1649</v>
      </c>
      <c r="AV12" s="937" t="s">
        <v>1650</v>
      </c>
      <c r="AW12" s="937"/>
    </row>
    <row r="13" spans="1:49" s="331" customFormat="1" ht="38.25" customHeight="1">
      <c r="A13" s="937"/>
      <c r="B13" s="937"/>
      <c r="C13" s="937"/>
      <c r="D13" s="936"/>
      <c r="E13" s="936"/>
      <c r="F13" s="936"/>
      <c r="G13" s="936"/>
      <c r="H13" s="937"/>
      <c r="I13" s="936"/>
      <c r="J13" s="936"/>
      <c r="K13" s="937"/>
      <c r="L13" s="937"/>
      <c r="M13" s="937"/>
      <c r="N13" s="936"/>
      <c r="O13" s="936"/>
      <c r="P13" s="937"/>
      <c r="Q13" s="937"/>
      <c r="R13" s="937"/>
      <c r="S13" s="936"/>
      <c r="T13" s="936"/>
      <c r="U13" s="937"/>
      <c r="V13" s="937"/>
      <c r="W13" s="937"/>
      <c r="X13" s="936"/>
      <c r="Y13" s="936"/>
      <c r="Z13" s="937"/>
      <c r="AA13" s="937"/>
      <c r="AB13" s="937"/>
      <c r="AC13" s="936"/>
      <c r="AD13" s="936"/>
      <c r="AE13" s="937"/>
      <c r="AF13" s="937"/>
      <c r="AG13" s="937"/>
      <c r="AH13" s="936"/>
      <c r="AI13" s="936"/>
      <c r="AJ13" s="937"/>
      <c r="AK13" s="937"/>
      <c r="AL13" s="937"/>
      <c r="AM13" s="936"/>
      <c r="AN13" s="936"/>
      <c r="AO13" s="937"/>
      <c r="AP13" s="937"/>
      <c r="AQ13" s="936"/>
      <c r="AR13" s="332" t="s">
        <v>1651</v>
      </c>
      <c r="AS13" s="332" t="s">
        <v>1652</v>
      </c>
      <c r="AT13" s="332" t="s">
        <v>1651</v>
      </c>
      <c r="AU13" s="936"/>
      <c r="AV13" s="937"/>
      <c r="AW13" s="937"/>
    </row>
    <row r="14" spans="1:49" s="331" customFormat="1" ht="32.25" customHeight="1">
      <c r="A14" s="333"/>
      <c r="B14" s="333" t="s">
        <v>365</v>
      </c>
      <c r="C14" s="334">
        <f t="shared" ref="C14:AP14" si="0">C15+C18+C21</f>
        <v>10361215</v>
      </c>
      <c r="D14" s="334">
        <f t="shared" si="0"/>
        <v>4965846</v>
      </c>
      <c r="E14" s="334">
        <f t="shared" si="0"/>
        <v>1746884</v>
      </c>
      <c r="F14" s="334">
        <f t="shared" si="0"/>
        <v>3168599</v>
      </c>
      <c r="G14" s="334">
        <f t="shared" si="0"/>
        <v>479886</v>
      </c>
      <c r="H14" s="334">
        <f t="shared" si="0"/>
        <v>2845083</v>
      </c>
      <c r="I14" s="334">
        <f t="shared" si="0"/>
        <v>1727954</v>
      </c>
      <c r="J14" s="334">
        <f t="shared" si="0"/>
        <v>556483</v>
      </c>
      <c r="K14" s="334">
        <f t="shared" si="0"/>
        <v>896602</v>
      </c>
      <c r="L14" s="334">
        <f t="shared" si="0"/>
        <v>182239</v>
      </c>
      <c r="M14" s="334">
        <f t="shared" si="0"/>
        <v>1297283</v>
      </c>
      <c r="N14" s="334">
        <f t="shared" si="0"/>
        <v>857364</v>
      </c>
      <c r="O14" s="334">
        <f t="shared" si="0"/>
        <v>360063</v>
      </c>
      <c r="P14" s="334">
        <f t="shared" si="0"/>
        <v>51373</v>
      </c>
      <c r="Q14" s="334">
        <f t="shared" si="0"/>
        <v>28483</v>
      </c>
      <c r="R14" s="334">
        <f t="shared" si="0"/>
        <v>309451</v>
      </c>
      <c r="S14" s="334">
        <f t="shared" si="0"/>
        <v>104269</v>
      </c>
      <c r="T14" s="334">
        <f t="shared" si="0"/>
        <v>100151</v>
      </c>
      <c r="U14" s="334">
        <f t="shared" si="0"/>
        <v>83787</v>
      </c>
      <c r="V14" s="334">
        <f t="shared" si="0"/>
        <v>21244</v>
      </c>
      <c r="W14" s="334">
        <f t="shared" si="0"/>
        <v>60187</v>
      </c>
      <c r="X14" s="334">
        <f t="shared" si="0"/>
        <v>17147</v>
      </c>
      <c r="Y14" s="334">
        <f t="shared" si="0"/>
        <v>23511</v>
      </c>
      <c r="Z14" s="334">
        <f t="shared" si="0"/>
        <v>15863</v>
      </c>
      <c r="AA14" s="334">
        <f t="shared" si="0"/>
        <v>3666</v>
      </c>
      <c r="AB14" s="334">
        <f t="shared" si="0"/>
        <v>2564973</v>
      </c>
      <c r="AC14" s="334">
        <f t="shared" si="0"/>
        <v>1142735</v>
      </c>
      <c r="AD14" s="334">
        <f t="shared" si="0"/>
        <v>780312</v>
      </c>
      <c r="AE14" s="334">
        <f t="shared" si="0"/>
        <v>556834</v>
      </c>
      <c r="AF14" s="334">
        <f t="shared" si="0"/>
        <v>85092</v>
      </c>
      <c r="AG14" s="334">
        <f t="shared" si="0"/>
        <v>249300</v>
      </c>
      <c r="AH14" s="334">
        <f t="shared" si="0"/>
        <v>142440</v>
      </c>
      <c r="AI14" s="334">
        <f t="shared" si="0"/>
        <v>4389</v>
      </c>
      <c r="AJ14" s="334">
        <f t="shared" si="0"/>
        <v>102308</v>
      </c>
      <c r="AK14" s="334">
        <f t="shared" si="0"/>
        <v>163</v>
      </c>
      <c r="AL14" s="334">
        <f t="shared" si="0"/>
        <v>2416625</v>
      </c>
      <c r="AM14" s="334">
        <f t="shared" si="0"/>
        <v>1056427</v>
      </c>
      <c r="AN14" s="334">
        <f t="shared" si="0"/>
        <v>751733</v>
      </c>
      <c r="AO14" s="334">
        <f t="shared" si="0"/>
        <v>523373</v>
      </c>
      <c r="AP14" s="334">
        <f t="shared" si="0"/>
        <v>85092</v>
      </c>
      <c r="AQ14" s="334">
        <f t="shared" ref="AQ14:AV14" si="1">AQ15+AQ18+AQ21</f>
        <v>1859072</v>
      </c>
      <c r="AR14" s="334">
        <f t="shared" si="1"/>
        <v>937401</v>
      </c>
      <c r="AS14" s="334">
        <f t="shared" si="1"/>
        <v>0</v>
      </c>
      <c r="AT14" s="334">
        <f t="shared" si="1"/>
        <v>431499</v>
      </c>
      <c r="AU14" s="334">
        <f t="shared" si="1"/>
        <v>408804</v>
      </c>
      <c r="AV14" s="334">
        <f t="shared" si="1"/>
        <v>81368</v>
      </c>
      <c r="AW14" s="335"/>
    </row>
    <row r="15" spans="1:49" s="336" customFormat="1" ht="59.4" customHeight="1">
      <c r="A15" s="334" t="s">
        <v>35</v>
      </c>
      <c r="B15" s="333" t="s">
        <v>1653</v>
      </c>
      <c r="C15" s="332">
        <f>C16+C17</f>
        <v>1959350</v>
      </c>
      <c r="D15" s="332">
        <f t="shared" ref="D15:AW15" si="2">D16+D17</f>
        <v>1149932</v>
      </c>
      <c r="E15" s="332">
        <f t="shared" si="2"/>
        <v>62371</v>
      </c>
      <c r="F15" s="332">
        <f t="shared" si="2"/>
        <v>675033</v>
      </c>
      <c r="G15" s="332">
        <f t="shared" si="2"/>
        <v>72014</v>
      </c>
      <c r="H15" s="332">
        <f t="shared" si="2"/>
        <v>1507712</v>
      </c>
      <c r="I15" s="332">
        <f t="shared" si="2"/>
        <v>946355</v>
      </c>
      <c r="J15" s="332">
        <f t="shared" si="2"/>
        <v>460214</v>
      </c>
      <c r="K15" s="332">
        <f t="shared" si="2"/>
        <v>51416</v>
      </c>
      <c r="L15" s="332">
        <f t="shared" si="2"/>
        <v>49727</v>
      </c>
      <c r="M15" s="332">
        <f t="shared" si="2"/>
        <v>1297283</v>
      </c>
      <c r="N15" s="332">
        <f t="shared" si="2"/>
        <v>857364</v>
      </c>
      <c r="O15" s="332">
        <f t="shared" si="2"/>
        <v>360063</v>
      </c>
      <c r="P15" s="332">
        <f t="shared" si="2"/>
        <v>51373</v>
      </c>
      <c r="Q15" s="332">
        <f t="shared" si="2"/>
        <v>28483</v>
      </c>
      <c r="R15" s="332">
        <f t="shared" si="2"/>
        <v>210385</v>
      </c>
      <c r="S15" s="332">
        <f t="shared" si="2"/>
        <v>88990</v>
      </c>
      <c r="T15" s="332">
        <f t="shared" si="2"/>
        <v>100151</v>
      </c>
      <c r="U15" s="332">
        <f t="shared" si="2"/>
        <v>0</v>
      </c>
      <c r="V15" s="332">
        <f t="shared" si="2"/>
        <v>21244</v>
      </c>
      <c r="W15" s="332">
        <f t="shared" si="2"/>
        <v>40742</v>
      </c>
      <c r="X15" s="332">
        <f t="shared" si="2"/>
        <v>13565</v>
      </c>
      <c r="Y15" s="332">
        <f t="shared" si="2"/>
        <v>23511</v>
      </c>
      <c r="Z15" s="332">
        <f t="shared" si="2"/>
        <v>0</v>
      </c>
      <c r="AA15" s="332">
        <f t="shared" si="2"/>
        <v>3666</v>
      </c>
      <c r="AB15" s="332">
        <f t="shared" si="2"/>
        <v>451638</v>
      </c>
      <c r="AC15" s="332">
        <f t="shared" si="2"/>
        <v>203577</v>
      </c>
      <c r="AD15" s="332">
        <f t="shared" si="2"/>
        <v>214819</v>
      </c>
      <c r="AE15" s="332">
        <f t="shared" si="2"/>
        <v>10955</v>
      </c>
      <c r="AF15" s="332">
        <f t="shared" si="2"/>
        <v>22287</v>
      </c>
      <c r="AG15" s="332">
        <f t="shared" si="2"/>
        <v>101074</v>
      </c>
      <c r="AH15" s="332">
        <f t="shared" si="2"/>
        <v>92751</v>
      </c>
      <c r="AI15" s="332">
        <f t="shared" si="2"/>
        <v>4389</v>
      </c>
      <c r="AJ15" s="332">
        <f t="shared" si="2"/>
        <v>3771</v>
      </c>
      <c r="AK15" s="332">
        <f t="shared" si="2"/>
        <v>163</v>
      </c>
      <c r="AL15" s="332">
        <f t="shared" si="2"/>
        <v>451638</v>
      </c>
      <c r="AM15" s="332">
        <f t="shared" si="2"/>
        <v>203577</v>
      </c>
      <c r="AN15" s="332">
        <f t="shared" si="2"/>
        <v>214819</v>
      </c>
      <c r="AO15" s="332">
        <f t="shared" si="2"/>
        <v>10955</v>
      </c>
      <c r="AP15" s="332">
        <f t="shared" si="2"/>
        <v>22287</v>
      </c>
      <c r="AQ15" s="332">
        <f>AR15+AU15</f>
        <v>276000</v>
      </c>
      <c r="AR15" s="332">
        <v>240000</v>
      </c>
      <c r="AS15" s="332">
        <f t="shared" si="2"/>
        <v>0</v>
      </c>
      <c r="AT15" s="332">
        <f t="shared" si="2"/>
        <v>0</v>
      </c>
      <c r="AU15" s="332">
        <v>36000</v>
      </c>
      <c r="AV15" s="332">
        <f t="shared" si="2"/>
        <v>0</v>
      </c>
      <c r="AW15" s="332">
        <f t="shared" si="2"/>
        <v>0</v>
      </c>
    </row>
    <row r="16" spans="1:49" s="339" customFormat="1" ht="28.5" customHeight="1">
      <c r="A16" s="335"/>
      <c r="B16" s="337" t="s">
        <v>1654</v>
      </c>
      <c r="C16" s="338">
        <f>D16+E16+F16+G16</f>
        <v>1313385</v>
      </c>
      <c r="D16" s="338">
        <v>512206</v>
      </c>
      <c r="E16" s="338">
        <v>54132</v>
      </c>
      <c r="F16" s="338">
        <v>675033</v>
      </c>
      <c r="G16" s="338">
        <v>72014</v>
      </c>
      <c r="H16" s="338">
        <f>I16+J16+K16+L16</f>
        <v>975856</v>
      </c>
      <c r="I16" s="338">
        <v>420389</v>
      </c>
      <c r="J16" s="338">
        <v>460214</v>
      </c>
      <c r="K16" s="338">
        <v>45526</v>
      </c>
      <c r="L16" s="338">
        <v>49727</v>
      </c>
      <c r="M16" s="338">
        <f>N16+O16+P16+Q16</f>
        <v>792222</v>
      </c>
      <c r="N16" s="338">
        <v>358193</v>
      </c>
      <c r="O16" s="338">
        <v>360063</v>
      </c>
      <c r="P16" s="338">
        <v>45483</v>
      </c>
      <c r="Q16" s="338">
        <v>28483</v>
      </c>
      <c r="R16" s="338">
        <f>S16+T16+U16+V16</f>
        <v>183590</v>
      </c>
      <c r="S16" s="338">
        <v>62195</v>
      </c>
      <c r="T16" s="338">
        <v>100151</v>
      </c>
      <c r="U16" s="338">
        <v>0</v>
      </c>
      <c r="V16" s="338">
        <v>21244</v>
      </c>
      <c r="W16" s="338">
        <f>X16+Y16+Z16+AA16</f>
        <v>27177</v>
      </c>
      <c r="X16" s="338">
        <v>0</v>
      </c>
      <c r="Y16" s="338">
        <v>23511</v>
      </c>
      <c r="Z16" s="338">
        <v>0</v>
      </c>
      <c r="AA16" s="338">
        <v>3666</v>
      </c>
      <c r="AB16" s="338">
        <f>AC16+AD16+AE16+AF16</f>
        <v>337529</v>
      </c>
      <c r="AC16" s="338">
        <v>91817</v>
      </c>
      <c r="AD16" s="338">
        <v>214819</v>
      </c>
      <c r="AE16" s="338">
        <v>8606</v>
      </c>
      <c r="AF16" s="338">
        <v>22287</v>
      </c>
      <c r="AG16" s="338">
        <f>AH16+AI16+AJ16+AK16</f>
        <v>50552</v>
      </c>
      <c r="AH16" s="338">
        <v>43500</v>
      </c>
      <c r="AI16" s="338">
        <v>4389</v>
      </c>
      <c r="AJ16" s="338">
        <v>2500</v>
      </c>
      <c r="AK16" s="338">
        <v>163</v>
      </c>
      <c r="AL16" s="338">
        <f>AM16+AN16+AO16+AP16</f>
        <v>337529</v>
      </c>
      <c r="AM16" s="338">
        <v>91817</v>
      </c>
      <c r="AN16" s="338">
        <v>214819</v>
      </c>
      <c r="AO16" s="338">
        <v>8606</v>
      </c>
      <c r="AP16" s="338">
        <v>22287</v>
      </c>
      <c r="AQ16" s="338"/>
      <c r="AR16" s="338"/>
      <c r="AS16" s="338"/>
      <c r="AT16" s="338"/>
      <c r="AU16" s="338"/>
      <c r="AV16" s="338"/>
      <c r="AW16" s="338"/>
    </row>
    <row r="17" spans="1:49" s="339" customFormat="1" ht="32.25" customHeight="1">
      <c r="A17" s="335"/>
      <c r="B17" s="337" t="s">
        <v>1655</v>
      </c>
      <c r="C17" s="338">
        <f>D17+E17+F17+G17</f>
        <v>645965</v>
      </c>
      <c r="D17" s="338">
        <v>637726</v>
      </c>
      <c r="E17" s="338">
        <v>8239</v>
      </c>
      <c r="F17" s="338">
        <v>0</v>
      </c>
      <c r="G17" s="338">
        <v>0</v>
      </c>
      <c r="H17" s="338">
        <f>I17+J17+K17+L17</f>
        <v>531856</v>
      </c>
      <c r="I17" s="338">
        <v>525966</v>
      </c>
      <c r="J17" s="338">
        <v>0</v>
      </c>
      <c r="K17" s="338">
        <v>5890</v>
      </c>
      <c r="L17" s="338">
        <v>0</v>
      </c>
      <c r="M17" s="338">
        <f>N17+O17+P17+Q17</f>
        <v>505061</v>
      </c>
      <c r="N17" s="338">
        <v>499171</v>
      </c>
      <c r="O17" s="338">
        <v>0</v>
      </c>
      <c r="P17" s="338">
        <v>5890</v>
      </c>
      <c r="Q17" s="338">
        <v>0</v>
      </c>
      <c r="R17" s="338">
        <f>S17+T17+U17+V17</f>
        <v>26795</v>
      </c>
      <c r="S17" s="338">
        <v>26795</v>
      </c>
      <c r="T17" s="338"/>
      <c r="U17" s="338"/>
      <c r="V17" s="338"/>
      <c r="W17" s="338">
        <f>X17+Y17+Z17+AA17</f>
        <v>13565</v>
      </c>
      <c r="X17" s="338">
        <v>13565</v>
      </c>
      <c r="Y17" s="338">
        <v>0</v>
      </c>
      <c r="Z17" s="338">
        <v>0</v>
      </c>
      <c r="AA17" s="338">
        <v>0</v>
      </c>
      <c r="AB17" s="338">
        <f>AC17+AD17+AE17+AF17</f>
        <v>114109</v>
      </c>
      <c r="AC17" s="338">
        <v>111760</v>
      </c>
      <c r="AD17" s="338">
        <v>0</v>
      </c>
      <c r="AE17" s="338">
        <v>2349</v>
      </c>
      <c r="AF17" s="338">
        <v>0</v>
      </c>
      <c r="AG17" s="338">
        <f>AH17+AI17+AJ17+AK17</f>
        <v>50522</v>
      </c>
      <c r="AH17" s="338">
        <v>49251</v>
      </c>
      <c r="AI17" s="338">
        <v>0</v>
      </c>
      <c r="AJ17" s="338">
        <v>1271</v>
      </c>
      <c r="AK17" s="338">
        <v>0</v>
      </c>
      <c r="AL17" s="338">
        <f>AM17+AN17+AO17+AP17</f>
        <v>114109</v>
      </c>
      <c r="AM17" s="338">
        <v>111760</v>
      </c>
      <c r="AN17" s="338">
        <v>0</v>
      </c>
      <c r="AO17" s="338">
        <v>2349</v>
      </c>
      <c r="AP17" s="338">
        <v>0</v>
      </c>
      <c r="AQ17" s="338"/>
      <c r="AR17" s="338"/>
      <c r="AS17" s="338"/>
      <c r="AT17" s="338"/>
      <c r="AU17" s="338"/>
      <c r="AV17" s="338"/>
      <c r="AW17" s="338"/>
    </row>
    <row r="18" spans="1:49" s="339" customFormat="1" ht="32.4" customHeight="1">
      <c r="A18" s="332" t="s">
        <v>47</v>
      </c>
      <c r="B18" s="333" t="s">
        <v>1656</v>
      </c>
      <c r="C18" s="332">
        <f>C19+C20</f>
        <v>2794044</v>
      </c>
      <c r="D18" s="332">
        <f t="shared" ref="D18:AW18" si="3">D19+D20</f>
        <v>968347</v>
      </c>
      <c r="E18" s="332">
        <f t="shared" si="3"/>
        <v>1399756</v>
      </c>
      <c r="F18" s="332">
        <f t="shared" si="3"/>
        <v>253085</v>
      </c>
      <c r="G18" s="332">
        <f t="shared" si="3"/>
        <v>172856</v>
      </c>
      <c r="H18" s="332">
        <f t="shared" si="3"/>
        <v>1337371</v>
      </c>
      <c r="I18" s="332">
        <f t="shared" si="3"/>
        <v>781599</v>
      </c>
      <c r="J18" s="332">
        <f t="shared" si="3"/>
        <v>96269</v>
      </c>
      <c r="K18" s="332">
        <f t="shared" si="3"/>
        <v>845186</v>
      </c>
      <c r="L18" s="332">
        <f t="shared" si="3"/>
        <v>132512</v>
      </c>
      <c r="M18" s="332">
        <f t="shared" si="3"/>
        <v>0</v>
      </c>
      <c r="N18" s="332">
        <f t="shared" si="3"/>
        <v>0</v>
      </c>
      <c r="O18" s="332">
        <f t="shared" si="3"/>
        <v>0</v>
      </c>
      <c r="P18" s="332">
        <f t="shared" si="3"/>
        <v>0</v>
      </c>
      <c r="Q18" s="332">
        <f t="shared" si="3"/>
        <v>0</v>
      </c>
      <c r="R18" s="332">
        <f t="shared" si="3"/>
        <v>99066</v>
      </c>
      <c r="S18" s="332">
        <f t="shared" si="3"/>
        <v>15279</v>
      </c>
      <c r="T18" s="332">
        <f t="shared" si="3"/>
        <v>0</v>
      </c>
      <c r="U18" s="332">
        <f t="shared" si="3"/>
        <v>83787</v>
      </c>
      <c r="V18" s="332">
        <f t="shared" si="3"/>
        <v>0</v>
      </c>
      <c r="W18" s="332">
        <f t="shared" si="3"/>
        <v>19445</v>
      </c>
      <c r="X18" s="332">
        <f t="shared" si="3"/>
        <v>3582</v>
      </c>
      <c r="Y18" s="332">
        <f t="shared" si="3"/>
        <v>0</v>
      </c>
      <c r="Z18" s="332">
        <f t="shared" si="3"/>
        <v>15863</v>
      </c>
      <c r="AA18" s="332">
        <f t="shared" si="3"/>
        <v>0</v>
      </c>
      <c r="AB18" s="332">
        <f t="shared" si="3"/>
        <v>792580</v>
      </c>
      <c r="AC18" s="332">
        <f t="shared" si="3"/>
        <v>186748</v>
      </c>
      <c r="AD18" s="332">
        <f t="shared" si="3"/>
        <v>59418</v>
      </c>
      <c r="AE18" s="332">
        <f t="shared" si="3"/>
        <v>506070</v>
      </c>
      <c r="AF18" s="332">
        <f t="shared" si="3"/>
        <v>40344</v>
      </c>
      <c r="AG18" s="332">
        <f t="shared" si="3"/>
        <v>148226</v>
      </c>
      <c r="AH18" s="332">
        <f t="shared" si="3"/>
        <v>49689</v>
      </c>
      <c r="AI18" s="332">
        <f t="shared" si="3"/>
        <v>0</v>
      </c>
      <c r="AJ18" s="332">
        <f t="shared" si="3"/>
        <v>98537</v>
      </c>
      <c r="AK18" s="332">
        <f t="shared" si="3"/>
        <v>0</v>
      </c>
      <c r="AL18" s="332">
        <f t="shared" si="3"/>
        <v>644232</v>
      </c>
      <c r="AM18" s="332">
        <f t="shared" si="3"/>
        <v>100440</v>
      </c>
      <c r="AN18" s="332">
        <f t="shared" si="3"/>
        <v>30839</v>
      </c>
      <c r="AO18" s="332">
        <f t="shared" si="3"/>
        <v>472609</v>
      </c>
      <c r="AP18" s="332">
        <f t="shared" si="3"/>
        <v>40344</v>
      </c>
      <c r="AQ18" s="332">
        <f>AR18+AS18+AT18+AU18+AV18</f>
        <v>575188</v>
      </c>
      <c r="AR18" s="332">
        <v>180000</v>
      </c>
      <c r="AS18" s="332">
        <f t="shared" si="3"/>
        <v>0</v>
      </c>
      <c r="AT18" s="332">
        <v>50617</v>
      </c>
      <c r="AU18" s="332">
        <v>310000</v>
      </c>
      <c r="AV18" s="332">
        <v>34571</v>
      </c>
      <c r="AW18" s="332">
        <f t="shared" si="3"/>
        <v>0</v>
      </c>
    </row>
    <row r="19" spans="1:49" s="339" customFormat="1" ht="36.75" customHeight="1">
      <c r="A19" s="338"/>
      <c r="B19" s="337" t="s">
        <v>1654</v>
      </c>
      <c r="C19" s="338">
        <f>D19+E19+F19+G19</f>
        <v>1981603</v>
      </c>
      <c r="D19" s="338">
        <v>482830</v>
      </c>
      <c r="E19" s="338">
        <v>1198809</v>
      </c>
      <c r="F19" s="338">
        <v>127108</v>
      </c>
      <c r="G19" s="338">
        <v>172856</v>
      </c>
      <c r="H19" s="338">
        <f>I19+J19+K19+L19</f>
        <v>1337371</v>
      </c>
      <c r="I19" s="338">
        <v>382390</v>
      </c>
      <c r="J19" s="338">
        <v>96269</v>
      </c>
      <c r="K19" s="338">
        <v>726200</v>
      </c>
      <c r="L19" s="338">
        <v>132512</v>
      </c>
      <c r="M19" s="338"/>
      <c r="N19" s="338">
        <v>0</v>
      </c>
      <c r="O19" s="338"/>
      <c r="P19" s="338">
        <v>0</v>
      </c>
      <c r="Q19" s="338"/>
      <c r="R19" s="338">
        <f>S19+T19+U19+V19</f>
        <v>99066</v>
      </c>
      <c r="S19" s="338">
        <v>15279</v>
      </c>
      <c r="T19" s="338"/>
      <c r="U19" s="338">
        <v>83787</v>
      </c>
      <c r="V19" s="338"/>
      <c r="W19" s="338">
        <f>X19+Y19+Z19+AA19</f>
        <v>19445</v>
      </c>
      <c r="X19" s="338">
        <v>3582</v>
      </c>
      <c r="Y19" s="338"/>
      <c r="Z19" s="338">
        <v>15863</v>
      </c>
      <c r="AA19" s="338"/>
      <c r="AB19" s="338">
        <f>AC19+AD19+AE19+AF19</f>
        <v>644232</v>
      </c>
      <c r="AC19" s="338">
        <v>100440</v>
      </c>
      <c r="AD19" s="338">
        <v>30839</v>
      </c>
      <c r="AE19" s="338">
        <v>472609</v>
      </c>
      <c r="AF19" s="338">
        <v>40344</v>
      </c>
      <c r="AG19" s="338">
        <f>AH19+AI19+AJ19+AK19</f>
        <v>148226</v>
      </c>
      <c r="AH19" s="338">
        <v>49689</v>
      </c>
      <c r="AI19" s="338"/>
      <c r="AJ19" s="338">
        <v>98537</v>
      </c>
      <c r="AK19" s="338"/>
      <c r="AL19" s="338">
        <f>AM19+AN19+AO19+AP19</f>
        <v>644232</v>
      </c>
      <c r="AM19" s="338">
        <v>100440</v>
      </c>
      <c r="AN19" s="338">
        <v>30839</v>
      </c>
      <c r="AO19" s="338">
        <v>472609</v>
      </c>
      <c r="AP19" s="338">
        <v>40344</v>
      </c>
      <c r="AQ19" s="338"/>
      <c r="AR19" s="338"/>
      <c r="AS19" s="338"/>
      <c r="AT19" s="338"/>
      <c r="AU19" s="338"/>
      <c r="AV19" s="338"/>
      <c r="AW19" s="338"/>
    </row>
    <row r="20" spans="1:49" s="342" customFormat="1" ht="41.25" customHeight="1">
      <c r="A20" s="340"/>
      <c r="B20" s="337" t="s">
        <v>1655</v>
      </c>
      <c r="C20" s="338">
        <f>D20+E20+F20+G20</f>
        <v>812441</v>
      </c>
      <c r="D20" s="340">
        <v>485517</v>
      </c>
      <c r="E20" s="340">
        <v>200947</v>
      </c>
      <c r="F20" s="340">
        <v>125977</v>
      </c>
      <c r="G20" s="340">
        <v>0</v>
      </c>
      <c r="H20" s="340"/>
      <c r="I20" s="340">
        <v>399209</v>
      </c>
      <c r="J20" s="340"/>
      <c r="K20" s="340">
        <v>118986</v>
      </c>
      <c r="L20" s="340"/>
      <c r="M20" s="340"/>
      <c r="N20" s="340"/>
      <c r="O20" s="340"/>
      <c r="P20" s="340"/>
      <c r="Q20" s="340"/>
      <c r="R20" s="340"/>
      <c r="S20" s="340"/>
      <c r="T20" s="340"/>
      <c r="U20" s="340"/>
      <c r="V20" s="340"/>
      <c r="W20" s="340"/>
      <c r="X20" s="340"/>
      <c r="Y20" s="340"/>
      <c r="Z20" s="340"/>
      <c r="AA20" s="340"/>
      <c r="AB20" s="338">
        <f>AC20+AD20+AE20+AF20</f>
        <v>148348</v>
      </c>
      <c r="AC20" s="340">
        <v>86308</v>
      </c>
      <c r="AD20" s="340">
        <v>28579</v>
      </c>
      <c r="AE20" s="340">
        <v>33461</v>
      </c>
      <c r="AF20" s="340">
        <v>0</v>
      </c>
      <c r="AG20" s="340"/>
      <c r="AH20" s="340"/>
      <c r="AI20" s="340"/>
      <c r="AJ20" s="340"/>
      <c r="AK20" s="340"/>
      <c r="AL20" s="340"/>
      <c r="AM20" s="340"/>
      <c r="AN20" s="340"/>
      <c r="AO20" s="340"/>
      <c r="AP20" s="340"/>
      <c r="AQ20" s="338"/>
      <c r="AR20" s="340"/>
      <c r="AS20" s="340"/>
      <c r="AT20" s="340"/>
      <c r="AU20" s="340"/>
      <c r="AV20" s="340"/>
      <c r="AW20" s="341"/>
    </row>
    <row r="21" spans="1:49" s="383" customFormat="1" ht="63.75" customHeight="1">
      <c r="A21" s="343" t="s">
        <v>84</v>
      </c>
      <c r="B21" s="333" t="s">
        <v>1657</v>
      </c>
      <c r="C21" s="381">
        <f>D21+E21+F21+G21</f>
        <v>5607821</v>
      </c>
      <c r="D21" s="381">
        <v>2847567</v>
      </c>
      <c r="E21" s="381">
        <v>284757</v>
      </c>
      <c r="F21" s="381">
        <v>2240481</v>
      </c>
      <c r="G21" s="381">
        <v>235016</v>
      </c>
      <c r="H21" s="381"/>
      <c r="I21" s="381"/>
      <c r="J21" s="381"/>
      <c r="K21" s="381"/>
      <c r="L21" s="381"/>
      <c r="M21" s="381"/>
      <c r="N21" s="381"/>
      <c r="O21" s="381"/>
      <c r="P21" s="381"/>
      <c r="Q21" s="381"/>
      <c r="R21" s="381"/>
      <c r="S21" s="381"/>
      <c r="T21" s="381"/>
      <c r="U21" s="381"/>
      <c r="V21" s="381"/>
      <c r="W21" s="381"/>
      <c r="X21" s="381"/>
      <c r="Y21" s="381"/>
      <c r="Z21" s="381"/>
      <c r="AA21" s="381"/>
      <c r="AB21" s="381">
        <f>AC21+AD21+AE21+AF21</f>
        <v>1320755</v>
      </c>
      <c r="AC21" s="381">
        <v>752410</v>
      </c>
      <c r="AD21" s="381">
        <v>506075</v>
      </c>
      <c r="AE21" s="381">
        <v>39809</v>
      </c>
      <c r="AF21" s="381">
        <v>22461</v>
      </c>
      <c r="AG21" s="381"/>
      <c r="AH21" s="381"/>
      <c r="AI21" s="381"/>
      <c r="AJ21" s="381"/>
      <c r="AK21" s="381"/>
      <c r="AL21" s="381">
        <f>AM21+AN21+AO21+AP21</f>
        <v>1320755</v>
      </c>
      <c r="AM21" s="381">
        <v>752410</v>
      </c>
      <c r="AN21" s="381">
        <v>506075</v>
      </c>
      <c r="AO21" s="381">
        <v>39809</v>
      </c>
      <c r="AP21" s="381">
        <v>22461</v>
      </c>
      <c r="AQ21" s="381">
        <f>AR21+AT21+AU21+AV21</f>
        <v>1007884</v>
      </c>
      <c r="AR21" s="381">
        <v>517401</v>
      </c>
      <c r="AS21" s="381"/>
      <c r="AT21" s="381">
        <v>380882</v>
      </c>
      <c r="AU21" s="381">
        <v>62804</v>
      </c>
      <c r="AV21" s="381">
        <v>46797</v>
      </c>
      <c r="AW21" s="382"/>
    </row>
    <row r="22" spans="1:49" s="339" customFormat="1" ht="13.8">
      <c r="B22" s="344" t="s">
        <v>1658</v>
      </c>
      <c r="C22" s="345"/>
      <c r="D22" s="346"/>
    </row>
    <row r="23" spans="1:49" s="339" customFormat="1" ht="13.8">
      <c r="B23" s="347" t="s">
        <v>1659</v>
      </c>
    </row>
  </sheetData>
  <mergeCells count="99">
    <mergeCell ref="A2:AW2"/>
    <mergeCell ref="A3:AW3"/>
    <mergeCell ref="A4:AW4"/>
    <mergeCell ref="AP5:AW5"/>
    <mergeCell ref="A6:A13"/>
    <mergeCell ref="B6:B13"/>
    <mergeCell ref="C6:G8"/>
    <mergeCell ref="H6:AP6"/>
    <mergeCell ref="AQ6:AV7"/>
    <mergeCell ref="AW6:AW13"/>
    <mergeCell ref="H7:AA7"/>
    <mergeCell ref="AB7:AP7"/>
    <mergeCell ref="H8:L8"/>
    <mergeCell ref="M8:Q8"/>
    <mergeCell ref="R8:V8"/>
    <mergeCell ref="W8:AA8"/>
    <mergeCell ref="AB8:AF8"/>
    <mergeCell ref="AG8:AK8"/>
    <mergeCell ref="AL8:AP8"/>
    <mergeCell ref="AQ8:AV8"/>
    <mergeCell ref="C9:C13"/>
    <mergeCell ref="D9:G9"/>
    <mergeCell ref="H9:H13"/>
    <mergeCell ref="I9:L9"/>
    <mergeCell ref="M9:M13"/>
    <mergeCell ref="N9:Q9"/>
    <mergeCell ref="R9:R13"/>
    <mergeCell ref="S9:V9"/>
    <mergeCell ref="W9:W13"/>
    <mergeCell ref="AM9:AP9"/>
    <mergeCell ref="AQ9:AQ13"/>
    <mergeCell ref="AR9:AV9"/>
    <mergeCell ref="AE12:AE13"/>
    <mergeCell ref="AC12:AC13"/>
    <mergeCell ref="AD12:AD13"/>
    <mergeCell ref="AF12:AF13"/>
    <mergeCell ref="D10:E10"/>
    <mergeCell ref="F10:G10"/>
    <mergeCell ref="I10:L10"/>
    <mergeCell ref="N10:Q10"/>
    <mergeCell ref="S10:V10"/>
    <mergeCell ref="D11:D13"/>
    <mergeCell ref="E11:E13"/>
    <mergeCell ref="F11:F13"/>
    <mergeCell ref="G11:G13"/>
    <mergeCell ref="I11:J11"/>
    <mergeCell ref="I12:I13"/>
    <mergeCell ref="J12:J13"/>
    <mergeCell ref="AR12:AS12"/>
    <mergeCell ref="AU12:AU13"/>
    <mergeCell ref="AL9:AL13"/>
    <mergeCell ref="AM10:AP10"/>
    <mergeCell ref="AR10:AV10"/>
    <mergeCell ref="AM11:AN11"/>
    <mergeCell ref="AO11:AP11"/>
    <mergeCell ref="AR11:AT11"/>
    <mergeCell ref="AU11:AV11"/>
    <mergeCell ref="AV12:AV13"/>
    <mergeCell ref="AN12:AN13"/>
    <mergeCell ref="AO12:AO13"/>
    <mergeCell ref="AP12:AP13"/>
    <mergeCell ref="AH10:AK10"/>
    <mergeCell ref="AH11:AI11"/>
    <mergeCell ref="AJ11:AK11"/>
    <mergeCell ref="U11:V11"/>
    <mergeCell ref="X11:Y11"/>
    <mergeCell ref="Z11:AA11"/>
    <mergeCell ref="AC11:AD11"/>
    <mergeCell ref="AE11:AF11"/>
    <mergeCell ref="AG9:AG13"/>
    <mergeCell ref="AH9:AK9"/>
    <mergeCell ref="X10:AA10"/>
    <mergeCell ref="AC10:AF10"/>
    <mergeCell ref="X9:AA9"/>
    <mergeCell ref="AB9:AB13"/>
    <mergeCell ref="AC9:AF9"/>
    <mergeCell ref="X12:X13"/>
    <mergeCell ref="K12:K13"/>
    <mergeCell ref="L12:L13"/>
    <mergeCell ref="N12:N13"/>
    <mergeCell ref="O12:O13"/>
    <mergeCell ref="S11:T11"/>
    <mergeCell ref="P12:P13"/>
    <mergeCell ref="Q12:Q13"/>
    <mergeCell ref="S12:S13"/>
    <mergeCell ref="T12:T13"/>
    <mergeCell ref="K11:L11"/>
    <mergeCell ref="N11:O11"/>
    <mergeCell ref="P11:Q11"/>
    <mergeCell ref="U12:U13"/>
    <mergeCell ref="V12:V13"/>
    <mergeCell ref="Y12:Y13"/>
    <mergeCell ref="Z12:Z13"/>
    <mergeCell ref="AA12:AA13"/>
    <mergeCell ref="AH12:AH13"/>
    <mergeCell ref="AI12:AI13"/>
    <mergeCell ref="AJ12:AJ13"/>
    <mergeCell ref="AK12:AK13"/>
    <mergeCell ref="AM12:AM13"/>
  </mergeCells>
  <printOptions horizontalCentered="1"/>
  <pageMargins left="0" right="0" top="0.47244094488188981" bottom="0.39370078740157483" header="0.51181102362204722" footer="0.51181102362204722"/>
  <pageSetup paperSize="9" scale="49" orientation="landscape" r:id="rId1"/>
  <headerFooter differentFirst="1" alignWithMargins="0">
    <oddHeader>&amp;C&amp;P</oddHead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PL1.KH25</vt:lpstr>
      <vt:lpstr>PL2.PA2026</vt:lpstr>
      <vt:lpstr>PL3.NSDP-CT</vt:lpstr>
      <vt:lpstr>PL4.NSDP-KCM</vt:lpstr>
      <vt:lpstr>3-NSDP-KCM</vt:lpstr>
      <vt:lpstr>PL5.NV</vt:lpstr>
      <vt:lpstr>PL6.NSTW-CT</vt:lpstr>
      <vt:lpstr>PL7.NSTW-KCM</vt:lpstr>
      <vt:lpstr>8.CTMTQG</vt:lpstr>
      <vt:lpstr>9.ODA</vt:lpstr>
      <vt:lpstr>'3-NSDP-KCM'!Print_Area</vt:lpstr>
      <vt:lpstr>'9.ODA'!Print_Area</vt:lpstr>
      <vt:lpstr>PL2.PA2026!Print_Area</vt:lpstr>
      <vt:lpstr>'PL3.NSDP-CT'!Print_Area</vt:lpstr>
      <vt:lpstr>'PL4.NSDP-KCM'!Print_Area</vt:lpstr>
      <vt:lpstr>'PL6.NSTW-CT'!Print_Area</vt:lpstr>
      <vt:lpstr>'PL7.NSTW-KCM'!Print_Area</vt:lpstr>
      <vt:lpstr>'3-NSDP-KCM'!Print_Titles</vt:lpstr>
      <vt:lpstr>'8.CTMTQG'!Print_Titles</vt:lpstr>
      <vt:lpstr>'9.ODA'!Print_Titles</vt:lpstr>
      <vt:lpstr>PL1.KH25!Print_Titles</vt:lpstr>
      <vt:lpstr>'PL3.NSDP-CT'!Print_Titles</vt:lpstr>
      <vt:lpstr>'PL4.NSDP-KCM'!Print_Titles</vt:lpstr>
      <vt:lpstr>'PL6.NSTW-CT'!Print_Titles</vt:lpstr>
      <vt:lpstr>'PL7.NSTW-KCM'!Print_Titles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DPI - Hoang Anh</dc:creator>
  <cp:lastModifiedBy>PC</cp:lastModifiedBy>
  <cp:lastPrinted>2025-09-11T04:26:58Z</cp:lastPrinted>
  <dcterms:created xsi:type="dcterms:W3CDTF">2025-08-04T12:30:21Z</dcterms:created>
  <dcterms:modified xsi:type="dcterms:W3CDTF">2025-09-11T04:27:07Z</dcterms:modified>
</cp:coreProperties>
</file>